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M:\Group Finance\Reporting &amp; Control\2022\SFCR &amp; RSR\07 PD QRTs\"/>
    </mc:Choice>
  </mc:AlternateContent>
  <xr:revisionPtr revIDLastSave="0" documentId="8_{C4395932-6905-4A21-8295-20D90988A7D7}" xr6:coauthVersionLast="47" xr6:coauthVersionMax="47" xr10:uidLastSave="{00000000-0000-0000-0000-000000000000}"/>
  <bookViews>
    <workbookView xWindow="2685" yWindow="2685" windowWidth="38700" windowHeight="15315" firstSheet="30" activeTab="162" xr2:uid="{48B8D551-6CD3-4CC4-8AEF-39D3BC476939}"/>
  </bookViews>
  <sheets>
    <sheet name="General data" sheetId="2" state="hidden" r:id="rId1"/>
    <sheet name="XBRL Errors" sheetId="3" state="hidden" r:id="rId2"/>
    <sheet name="Index" sheetId="4" state="hidden" r:id="rId3"/>
    <sheet name="Show" sheetId="5" state="hidden" r:id="rId4"/>
    <sheet name="Hierarchies" sheetId="6" state="hidden" r:id="rId5"/>
    <sheet name="S.01.01.01" sheetId="7" state="hidden" r:id="rId6"/>
    <sheet name="S.01.01.02" sheetId="8" state="hidden" r:id="rId7"/>
    <sheet name="S.01.01.04" sheetId="9" state="hidden" r:id="rId8"/>
    <sheet name="S.01.01.05" sheetId="10" state="hidden" r:id="rId9"/>
    <sheet name="S.01.01.07" sheetId="11" state="hidden" r:id="rId10"/>
    <sheet name="S.01.01.08" sheetId="12" state="hidden" r:id="rId11"/>
    <sheet name="S.01.01.10" sheetId="13" state="hidden" r:id="rId12"/>
    <sheet name="S.01.01.11" sheetId="14" state="hidden" r:id="rId13"/>
    <sheet name="S.01.01.12" sheetId="15" state="hidden" r:id="rId14"/>
    <sheet name="S.01.01.13" sheetId="16" state="hidden" r:id="rId15"/>
    <sheet name="S.01.01.14" sheetId="17" state="hidden" r:id="rId16"/>
    <sheet name="S.01.01.15" sheetId="18" state="hidden" r:id="rId17"/>
    <sheet name="SR.01.01.01" sheetId="19" state="hidden" r:id="rId18"/>
    <sheet name="SR.01.01.04" sheetId="20" state="hidden" r:id="rId19"/>
    <sheet name="SR.01.01.07" sheetId="21" state="hidden" r:id="rId20"/>
    <sheet name="SE.01.01.16" sheetId="22" state="hidden" r:id="rId21"/>
    <sheet name="SE.01.01.17" sheetId="23" state="hidden" r:id="rId22"/>
    <sheet name="SE.01.01.18" sheetId="24" state="hidden" r:id="rId23"/>
    <sheet name="SE.01.01.19" sheetId="25" state="hidden" r:id="rId24"/>
    <sheet name="S.01.02.01" sheetId="26" state="hidden" r:id="rId25"/>
    <sheet name="S.01.02.04" sheetId="27" state="hidden" r:id="rId26"/>
    <sheet name="S.01.02.07" sheetId="28" state="hidden" r:id="rId27"/>
    <sheet name="S.01.03.01" sheetId="29" state="hidden" r:id="rId28"/>
    <sheet name="S.01.03.04" sheetId="30" state="hidden" r:id="rId29"/>
    <sheet name="S.02.01.01" sheetId="31" state="hidden" r:id="rId30"/>
    <sheet name="S.02.01.02" sheetId="32" r:id="rId31"/>
    <sheet name="S.02.01.07" sheetId="33" state="hidden" r:id="rId32"/>
    <sheet name="S.02.01.08" sheetId="34" state="hidden" r:id="rId33"/>
    <sheet name="SR.02.01.01" sheetId="35" state="hidden" r:id="rId34"/>
    <sheet name="SR.02.01.07" sheetId="36" state="hidden" r:id="rId35"/>
    <sheet name="SE.02.01.16" sheetId="37" state="hidden" r:id="rId36"/>
    <sheet name="SE.02.01.17" sheetId="38" state="hidden" r:id="rId37"/>
    <sheet name="SE.02.01.18" sheetId="39" state="hidden" r:id="rId38"/>
    <sheet name="SE.02.01.19" sheetId="40" state="hidden" r:id="rId39"/>
    <sheet name="S.02.02.01" sheetId="41" state="hidden" r:id="rId40"/>
    <sheet name="S.02.03.07" sheetId="42" state="hidden" r:id="rId41"/>
    <sheet name="S.03.01.01" sheetId="43" state="hidden" r:id="rId42"/>
    <sheet name="S.03.01.04" sheetId="44" state="hidden" r:id="rId43"/>
    <sheet name="S.03.02.01" sheetId="45" state="hidden" r:id="rId44"/>
    <sheet name="S.03.02.04" sheetId="46" state="hidden" r:id="rId45"/>
    <sheet name="S.03.03.01" sheetId="47" state="hidden" r:id="rId46"/>
    <sheet name="S.03.03.04" sheetId="48" state="hidden" r:id="rId47"/>
    <sheet name="S.04.01.01" sheetId="49" state="hidden" r:id="rId48"/>
    <sheet name="S.04.02.01" sheetId="50" state="hidden" r:id="rId49"/>
    <sheet name="S.05.01.01" sheetId="51" state="hidden" r:id="rId50"/>
    <sheet name="S.05.01.02" sheetId="52" r:id="rId51"/>
    <sheet name="S.05.01.13" sheetId="53" state="hidden" r:id="rId52"/>
    <sheet name="S.05.02.01" sheetId="54" r:id="rId53"/>
    <sheet name="S.06.01.01" sheetId="55" state="hidden" r:id="rId54"/>
    <sheet name="S.06.02.01" sheetId="56" state="hidden" r:id="rId55"/>
    <sheet name="S.06.02.04" sheetId="57" state="hidden" r:id="rId56"/>
    <sheet name="S.06.02.07" sheetId="58" state="hidden" r:id="rId57"/>
    <sheet name="SE.06.02.16" sheetId="59" state="hidden" r:id="rId58"/>
    <sheet name="SE.06.02.18" sheetId="60" state="hidden" r:id="rId59"/>
    <sheet name="S.06.03.01" sheetId="61" state="hidden" r:id="rId60"/>
    <sheet name="S.06.03.04" sheetId="62" state="hidden" r:id="rId61"/>
    <sheet name="S.07.01.01" sheetId="63" state="hidden" r:id="rId62"/>
    <sheet name="S.07.01.04" sheetId="64" state="hidden" r:id="rId63"/>
    <sheet name="S.08.01.01" sheetId="65" state="hidden" r:id="rId64"/>
    <sheet name="S.08.01.04" sheetId="66" state="hidden" r:id="rId65"/>
    <sheet name="S.08.02.01" sheetId="67" state="hidden" r:id="rId66"/>
    <sheet name="S.08.02.04" sheetId="68" state="hidden" r:id="rId67"/>
    <sheet name="S.09.01.01" sheetId="69" state="hidden" r:id="rId68"/>
    <sheet name="S.09.01.04" sheetId="70" state="hidden" r:id="rId69"/>
    <sheet name="S.10.01.01" sheetId="71" state="hidden" r:id="rId70"/>
    <sheet name="S.10.01.04" sheetId="72" state="hidden" r:id="rId71"/>
    <sheet name="S.11.01.01" sheetId="73" state="hidden" r:id="rId72"/>
    <sheet name="S.11.01.04" sheetId="74" state="hidden" r:id="rId73"/>
    <sheet name="S.12.01.01" sheetId="75" state="hidden" r:id="rId74"/>
    <sheet name="S.12.01.02" sheetId="76" r:id="rId75"/>
    <sheet name="SR.12.01.01" sheetId="77" state="hidden" r:id="rId76"/>
    <sheet name="S.12.02.01" sheetId="78" state="hidden" r:id="rId77"/>
    <sheet name="S.13.01.01" sheetId="79" state="hidden" r:id="rId78"/>
    <sheet name="S.14.01.01" sheetId="80" state="hidden" r:id="rId79"/>
    <sheet name="S.14.01.10" sheetId="81" state="hidden" r:id="rId80"/>
    <sheet name="S.15.01.01" sheetId="82" state="hidden" r:id="rId81"/>
    <sheet name="S.15.01.04" sheetId="83" state="hidden" r:id="rId82"/>
    <sheet name="S.15.02.01" sheetId="84" state="hidden" r:id="rId83"/>
    <sheet name="S.15.02.04" sheetId="85" state="hidden" r:id="rId84"/>
    <sheet name="S.16.01.01" sheetId="86" state="hidden" r:id="rId85"/>
    <sheet name="S.17.01.01" sheetId="87" state="hidden" r:id="rId86"/>
    <sheet name="S.17.01.02" sheetId="88" r:id="rId87"/>
    <sheet name="SR.17.01.01" sheetId="89" state="hidden" r:id="rId88"/>
    <sheet name="S.17.02.01" sheetId="90" state="hidden" r:id="rId89"/>
    <sheet name="S.18.01.01" sheetId="91" state="hidden" r:id="rId90"/>
    <sheet name="S.19.01.01" sheetId="92" state="hidden" r:id="rId91"/>
    <sheet name="S.19.01.21" sheetId="93" r:id="rId92"/>
    <sheet name="S.20.01.01" sheetId="94" state="hidden" r:id="rId93"/>
    <sheet name="S.21.01.01" sheetId="95" state="hidden" r:id="rId94"/>
    <sheet name="S.21.02.01" sheetId="96" state="hidden" r:id="rId95"/>
    <sheet name="S.21.03.01" sheetId="97" state="hidden" r:id="rId96"/>
    <sheet name="S.22.01.01" sheetId="98" state="hidden" r:id="rId97"/>
    <sheet name="S.22.01.04" sheetId="99" state="hidden" r:id="rId98"/>
    <sheet name="S.22.01.21" sheetId="100" r:id="rId99"/>
    <sheet name="S.22.01.22" sheetId="101" state="hidden" r:id="rId100"/>
    <sheet name="SR.22.02.01" sheetId="102" state="hidden" r:id="rId101"/>
    <sheet name="SR.22.03.01" sheetId="103" state="hidden" r:id="rId102"/>
    <sheet name="S.22.04.01" sheetId="104" state="hidden" r:id="rId103"/>
    <sheet name="S.22.05.01" sheetId="105" state="hidden" r:id="rId104"/>
    <sheet name="S.22.06.01" sheetId="106" state="hidden" r:id="rId105"/>
    <sheet name="S.23.01.01" sheetId="107" r:id="rId106"/>
    <sheet name="S.23.01.04" sheetId="108" state="hidden" r:id="rId107"/>
    <sheet name="S.23.01.07" sheetId="109" state="hidden" r:id="rId108"/>
    <sheet name="S.23.01.13" sheetId="110" state="hidden" r:id="rId109"/>
    <sheet name="S.23.01.22" sheetId="111" state="hidden" r:id="rId110"/>
    <sheet name="S.23.02.01" sheetId="112" state="hidden" r:id="rId111"/>
    <sheet name="S.23.02.04" sheetId="113" state="hidden" r:id="rId112"/>
    <sheet name="S.23.03.01" sheetId="114" state="hidden" r:id="rId113"/>
    <sheet name="S.23.03.04" sheetId="115" state="hidden" r:id="rId114"/>
    <sheet name="S.23.03.07" sheetId="116" state="hidden" r:id="rId115"/>
    <sheet name="S.23.04.01" sheetId="117" state="hidden" r:id="rId116"/>
    <sheet name="S.23.04.04" sheetId="118" state="hidden" r:id="rId117"/>
    <sheet name="S.24.01.01" sheetId="119" state="hidden" r:id="rId118"/>
    <sheet name="S.25.01.01" sheetId="120" state="hidden" r:id="rId119"/>
    <sheet name="S.25.01.04" sheetId="121" state="hidden" r:id="rId120"/>
    <sheet name="S.25.01.21" sheetId="122" r:id="rId121"/>
    <sheet name="S.25.01.22" sheetId="123" state="hidden" r:id="rId122"/>
    <sheet name="SR.25.01.01" sheetId="124" state="hidden" r:id="rId123"/>
    <sheet name="SR.25.01.04" sheetId="125" state="hidden" r:id="rId124"/>
    <sheet name="S.25.02.01" sheetId="126" state="hidden" r:id="rId125"/>
    <sheet name="S.25.02.04" sheetId="127" state="hidden" r:id="rId126"/>
    <sheet name="S.25.02.21" sheetId="128" state="hidden" r:id="rId127"/>
    <sheet name="S.25.02.22" sheetId="129" state="hidden" r:id="rId128"/>
    <sheet name="SR.25.02.01" sheetId="130" state="hidden" r:id="rId129"/>
    <sheet name="SR.25.02.04" sheetId="131" state="hidden" r:id="rId130"/>
    <sheet name="S.25.03.01" sheetId="132" state="hidden" r:id="rId131"/>
    <sheet name="S.25.03.04" sheetId="133" state="hidden" r:id="rId132"/>
    <sheet name="S.25.03.21" sheetId="134" state="hidden" r:id="rId133"/>
    <sheet name="S.25.03.22" sheetId="135" state="hidden" r:id="rId134"/>
    <sheet name="SR.25.03.01" sheetId="136" state="hidden" r:id="rId135"/>
    <sheet name="SR.25.03.04" sheetId="137" state="hidden" r:id="rId136"/>
    <sheet name="S.25.04.11" sheetId="138" state="hidden" r:id="rId137"/>
    <sheet name="S.25.04.13" sheetId="139" state="hidden" r:id="rId138"/>
    <sheet name="S.26.01.01" sheetId="140" state="hidden" r:id="rId139"/>
    <sheet name="S.26.01.04" sheetId="141" state="hidden" r:id="rId140"/>
    <sheet name="SR.26.01.01" sheetId="142" state="hidden" r:id="rId141"/>
    <sheet name="S.26.02.01" sheetId="143" state="hidden" r:id="rId142"/>
    <sheet name="S.26.02.04" sheetId="144" state="hidden" r:id="rId143"/>
    <sheet name="SR.26.02.01" sheetId="145" state="hidden" r:id="rId144"/>
    <sheet name="S.26.03.01" sheetId="146" state="hidden" r:id="rId145"/>
    <sheet name="S.26.03.04" sheetId="147" state="hidden" r:id="rId146"/>
    <sheet name="SR.26.03.01" sheetId="148" state="hidden" r:id="rId147"/>
    <sheet name="S.26.04.01" sheetId="149" state="hidden" r:id="rId148"/>
    <sheet name="S.26.04.04" sheetId="150" state="hidden" r:id="rId149"/>
    <sheet name="SR.26.04.01" sheetId="151" state="hidden" r:id="rId150"/>
    <sheet name="S.26.05.01" sheetId="152" state="hidden" r:id="rId151"/>
    <sheet name="S.26.05.04" sheetId="153" state="hidden" r:id="rId152"/>
    <sheet name="SR.26.05.01" sheetId="154" state="hidden" r:id="rId153"/>
    <sheet name="S.26.06.01" sheetId="155" state="hidden" r:id="rId154"/>
    <sheet name="S.26.06.04" sheetId="156" state="hidden" r:id="rId155"/>
    <sheet name="SR.26.06.01" sheetId="157" state="hidden" r:id="rId156"/>
    <sheet name="S.26.07.01" sheetId="158" state="hidden" r:id="rId157"/>
    <sheet name="S.26.07.04" sheetId="159" state="hidden" r:id="rId158"/>
    <sheet name="SR.26.07.01" sheetId="160" state="hidden" r:id="rId159"/>
    <sheet name="S.27.01.01" sheetId="161" state="hidden" r:id="rId160"/>
    <sheet name="S.27.01.04" sheetId="162" state="hidden" r:id="rId161"/>
    <sheet name="SR.27.01.01" sheetId="163" state="hidden" r:id="rId162"/>
    <sheet name="S.28.01.01" sheetId="164" r:id="rId163"/>
    <sheet name="S.28.02.01" sheetId="165" state="hidden" r:id="rId164"/>
    <sheet name="S.29.01.01" sheetId="166" state="hidden" r:id="rId165"/>
    <sheet name="S.29.01.07" sheetId="167" state="hidden" r:id="rId166"/>
    <sheet name="S.29.02.01" sheetId="168" state="hidden" r:id="rId167"/>
    <sheet name="S.29.03.01" sheetId="169" state="hidden" r:id="rId168"/>
    <sheet name="S.29.04.01" sheetId="170" state="hidden" r:id="rId169"/>
    <sheet name="S.30.01.01" sheetId="171" state="hidden" r:id="rId170"/>
    <sheet name="S.30.02.01" sheetId="172" state="hidden" r:id="rId171"/>
    <sheet name="S.30.03.01" sheetId="173" state="hidden" r:id="rId172"/>
    <sheet name="S.30.04.01" sheetId="174" state="hidden" r:id="rId173"/>
    <sheet name="S.31.01.01" sheetId="175" state="hidden" r:id="rId174"/>
    <sheet name="S.31.01.04" sheetId="176" state="hidden" r:id="rId175"/>
    <sheet name="S.31.02.01" sheetId="177" state="hidden" r:id="rId176"/>
    <sheet name="S.31.02.04" sheetId="178" state="hidden" r:id="rId177"/>
    <sheet name="S.32.01.04" sheetId="179" state="hidden" r:id="rId178"/>
    <sheet name="S.32.01.22" sheetId="180" state="hidden" r:id="rId179"/>
    <sheet name="S.33.01.04" sheetId="181" state="hidden" r:id="rId180"/>
    <sheet name="S.34.01.04" sheetId="182" state="hidden" r:id="rId181"/>
    <sheet name="S.35.01.04" sheetId="183" state="hidden" r:id="rId182"/>
    <sheet name="S.36.01.01" sheetId="184" state="hidden" r:id="rId183"/>
    <sheet name="S.36.02.01" sheetId="185" state="hidden" r:id="rId184"/>
    <sheet name="S.36.03.01" sheetId="186" state="hidden" r:id="rId185"/>
    <sheet name="S.36.04.01" sheetId="187" state="hidden" r:id="rId186"/>
    <sheet name="S.37.01.04" sheetId="188" state="hidden" r:id="rId187"/>
    <sheet name="S.38.01.10" sheetId="189" state="hidden" r:id="rId188"/>
    <sheet name="S.39.01.11" sheetId="190" state="hidden" r:id="rId189"/>
    <sheet name="S.40.01.10" sheetId="191" state="hidden" r:id="rId190"/>
    <sheet name="S.41.01.11" sheetId="192" state="hidden" r:id="rId191"/>
    <sheet name="E.01.01.16" sheetId="193" state="hidden" r:id="rId192"/>
    <sheet name="E.02.01.16" sheetId="194" state="hidden" r:id="rId193"/>
    <sheet name="E.03.01.16" sheetId="195" state="hidden" r:id="rId194"/>
    <sheet name="SPV.01.01.20" sheetId="196" state="hidden" r:id="rId195"/>
    <sheet name="SPV.01.02.20" sheetId="197" state="hidden" r:id="rId196"/>
    <sheet name="SPV.02.01.20" sheetId="198" state="hidden" r:id="rId197"/>
    <sheet name="SPV.02.02.20" sheetId="199" state="hidden" r:id="rId198"/>
    <sheet name="SPV.03.01.20" sheetId="200" state="hidden" r:id="rId199"/>
    <sheet name="SPV.03.02.20" sheetId="201" state="hidden" r:id="rId200"/>
    <sheet name="T.99.01.01" sheetId="202" state="hidden" r:id="rId201"/>
  </sheets>
  <definedNames>
    <definedName name="anscount" hidden="1">1</definedName>
    <definedName name="Currencies" localSheetId="0">'General data'!$V$1:$V$159</definedName>
    <definedName name="dr_x_0">'S.01.02.07'!$B$61</definedName>
    <definedName name="dr_x_1">'S.01.03.01'!$B$13</definedName>
    <definedName name="dr_x_10">'S.02.03.07'!$B$38</definedName>
    <definedName name="dr_x_100">'S.14.01.01'!$B$37</definedName>
    <definedName name="dr_x_101">'S.14.01.01'!$B$49</definedName>
    <definedName name="dr_x_102">'S.14.01.01'!$C$49</definedName>
    <definedName name="dr_x_103">'S.14.01.10'!$B$13</definedName>
    <definedName name="dr_x_104">'S.15.01.01'!$B$13</definedName>
    <definedName name="dr_x_105">'S.15.01.04'!$B$13</definedName>
    <definedName name="dr_x_106">'S.15.01.04'!$C$13</definedName>
    <definedName name="dr_x_107">'S.15.02.01'!$B$13</definedName>
    <definedName name="dr_x_108">'S.15.02.04'!$B$13</definedName>
    <definedName name="dr_x_109">'S.15.02.04'!$C$13</definedName>
    <definedName name="dr_x_11">'S.03.02.01'!$B$13</definedName>
    <definedName name="dr_x_110">'S.17.02.01'!$D$31</definedName>
    <definedName name="dr_x_111">'S.21.02.01'!$B$13</definedName>
    <definedName name="dr_x_113">'S.22.06.01'!$D$52</definedName>
    <definedName name="dr_x_115">'S.22.06.01'!$D$67</definedName>
    <definedName name="dr_x_116">'S.22.06.01'!$D$69</definedName>
    <definedName name="dr_x_117">'S.23.04.01'!$B$13</definedName>
    <definedName name="dr_x_118">'S.23.04.01'!$B$25</definedName>
    <definedName name="dr_x_119">'S.23.04.01'!$B$37</definedName>
    <definedName name="dr_x_12">'S.03.02.04'!$B$13</definedName>
    <definedName name="dr_x_120">'S.23.04.01'!$B$49</definedName>
    <definedName name="dr_x_121">'S.23.04.01'!$B$61</definedName>
    <definedName name="dr_x_122">'S.23.04.01'!$B$73</definedName>
    <definedName name="dr_x_123">'S.23.04.01'!$B$85</definedName>
    <definedName name="dr_x_124">'S.23.04.04'!$B$13</definedName>
    <definedName name="dr_x_125">'S.23.04.04'!$B$25</definedName>
    <definedName name="dr_x_126">'S.23.04.04'!$B$37</definedName>
    <definedName name="dr_x_127">'S.23.04.04'!$B$49</definedName>
    <definedName name="dr_x_128">'S.23.04.04'!$B$61</definedName>
    <definedName name="dr_x_129">'S.23.04.04'!$B$73</definedName>
    <definedName name="dr_x_13">'S.03.03.01'!$B$13</definedName>
    <definedName name="dr_x_130">'S.23.04.04'!$B$85</definedName>
    <definedName name="dr_x_131">'S.23.04.04'!$B$110</definedName>
    <definedName name="dr_x_132">'S.24.01.01'!$B$13</definedName>
    <definedName name="dr_x_133">'S.24.01.01'!$B$25</definedName>
    <definedName name="dr_x_134">'S.24.01.01'!$B$65</definedName>
    <definedName name="dr_x_135">'S.24.01.01'!$B$77</definedName>
    <definedName name="dr_x_136">'S.24.01.01'!$B$89</definedName>
    <definedName name="dr_x_137">'S.24.01.01'!$B$101</definedName>
    <definedName name="dr_x_138">'S.24.01.01'!$B$113</definedName>
    <definedName name="dr_x_139">'S.25.02.01'!$B$13</definedName>
    <definedName name="dr_x_14">'S.03.03.04'!$B$13</definedName>
    <definedName name="dr_x_140">'S.25.02.04'!$B$13</definedName>
    <definedName name="dr_x_141">'S.25.02.21'!$B$13</definedName>
    <definedName name="dr_x_142">'S.25.02.22'!$B$13</definedName>
    <definedName name="dr_x_143">'SR.25.02.01'!$B$17</definedName>
    <definedName name="dr_x_144">'SR.25.02.04'!$B$17</definedName>
    <definedName name="dr_x_145">'S.25.03.01'!$B$13</definedName>
    <definedName name="dr_x_146">'S.25.03.04'!$B$13</definedName>
    <definedName name="dr_x_147">'S.25.03.21'!$B$13</definedName>
    <definedName name="dr_x_148">'S.25.03.22'!$B$13</definedName>
    <definedName name="dr_x_149">'SR.25.03.01'!$B$17</definedName>
    <definedName name="dr_x_150">'SR.25.03.04'!$B$17</definedName>
    <definedName name="dr_x_151">'S.27.01.01'!$D$629</definedName>
    <definedName name="dr_x_152">'S.27.01.01'!$D$644</definedName>
    <definedName name="dr_x_153">'S.27.01.04'!$D$629</definedName>
    <definedName name="dr_x_154">'S.27.01.04'!$D$644</definedName>
    <definedName name="dr_x_155">'SR.27.01.01'!$D$721</definedName>
    <definedName name="dr_x_156">'SR.27.01.01'!$D$740</definedName>
    <definedName name="dr_x_157">'S.30.01.01'!$B$16</definedName>
    <definedName name="dr_x_158">'S.30.01.01'!$C$16</definedName>
    <definedName name="dr_x_159">'S.30.01.01'!$D$16</definedName>
    <definedName name="dr_x_160">'S.30.01.01'!$B$31</definedName>
    <definedName name="dr_x_161">'S.30.01.01'!$C$31</definedName>
    <definedName name="dr_x_162">'S.30.01.01'!$D$31</definedName>
    <definedName name="dr_x_163">'S.30.02.01'!$B$16</definedName>
    <definedName name="dr_x_164">'S.30.02.01'!$C$16</definedName>
    <definedName name="dr_x_165">'S.30.02.01'!$D$16</definedName>
    <definedName name="dr_x_166">'S.30.02.01'!$E$16</definedName>
    <definedName name="dr_x_167">'S.30.02.01'!$F$16</definedName>
    <definedName name="dr_x_168">'S.30.02.01'!$B$31</definedName>
    <definedName name="dr_x_169">'S.30.02.01'!$C$31</definedName>
    <definedName name="dr_x_170">'S.30.02.01'!$D$31</definedName>
    <definedName name="dr_x_171">'S.30.02.01'!$E$31</definedName>
    <definedName name="dr_x_172">'S.30.02.01'!$F$31</definedName>
    <definedName name="dr_x_173">'S.30.02.01'!$B$43</definedName>
    <definedName name="dr_x_174">'S.30.02.01'!$B$55</definedName>
    <definedName name="dr_x_175">'S.30.03.01'!$B$13</definedName>
    <definedName name="dr_x_176">'S.30.03.01'!$C$13</definedName>
    <definedName name="dr_x_177">'S.30.03.01'!$D$13</definedName>
    <definedName name="dr_x_178">'S.30.03.01'!$E$13</definedName>
    <definedName name="dr_x_179">'S.30.03.01'!$F$13</definedName>
    <definedName name="dr_x_180">'S.30.04.01'!$B$13</definedName>
    <definedName name="dr_x_181">'S.30.04.01'!$C$13</definedName>
    <definedName name="dr_x_182">'S.30.04.01'!$D$13</definedName>
    <definedName name="dr_x_183">'S.30.04.01'!$E$13</definedName>
    <definedName name="dr_x_184">'S.30.04.01'!$F$13</definedName>
    <definedName name="dr_x_185">'S.30.04.01'!$G$13</definedName>
    <definedName name="dr_x_186">'S.30.04.01'!$H$13</definedName>
    <definedName name="dr_x_187">'S.30.04.01'!$I$13</definedName>
    <definedName name="dr_x_188">'S.30.04.01'!$B$25</definedName>
    <definedName name="dr_x_189">'S.30.04.01'!$B$37</definedName>
    <definedName name="dr_x_190">'S.31.01.01'!$B$13</definedName>
    <definedName name="dr_x_191">'S.31.01.01'!$B$25</definedName>
    <definedName name="dr_x_192">'S.31.01.04'!$B$13</definedName>
    <definedName name="dr_x_193">'S.31.01.04'!$C$13</definedName>
    <definedName name="dr_x_194">'S.31.01.04'!$B$25</definedName>
    <definedName name="dr_x_195">'S.31.02.01'!$B$13</definedName>
    <definedName name="dr_x_196">'S.31.02.01'!$C$13</definedName>
    <definedName name="dr_x_197">'S.31.02.01'!$D$13</definedName>
    <definedName name="dr_x_198">'S.31.02.01'!$E$13</definedName>
    <definedName name="dr_x_199">'S.31.02.01'!$B$25</definedName>
    <definedName name="dr_x_2">'S.01.03.01'!$B$25</definedName>
    <definedName name="dr_x_200">'S.31.02.04'!$B$13</definedName>
    <definedName name="dr_x_201">'S.31.02.04'!$C$13</definedName>
    <definedName name="dr_x_202">'S.31.02.04'!$D$13</definedName>
    <definedName name="dr_x_203">'S.31.02.04'!$E$13</definedName>
    <definedName name="dr_x_204">'S.31.02.04'!$F$13</definedName>
    <definedName name="dr_x_205">'S.31.02.04'!$B$25</definedName>
    <definedName name="dr_x_206">'S.32.01.04'!$B$14</definedName>
    <definedName name="dr_x_207">'S.32.01.22'!$B$14</definedName>
    <definedName name="dr_x_208">'S.33.01.04'!$B$15</definedName>
    <definedName name="dr_x_209">'S.33.01.04'!$C$15</definedName>
    <definedName name="dr_x_210">'S.33.01.04'!$D$15</definedName>
    <definedName name="dr_x_211">'S.34.01.04'!$B$13</definedName>
    <definedName name="dr_x_212">'S.35.01.04'!$B$14</definedName>
    <definedName name="dr_x_213">'S.36.01.01'!$B$13</definedName>
    <definedName name="dr_x_214">'S.36.01.01'!$C$13</definedName>
    <definedName name="dr_x_215">'S.36.01.01'!$D$13</definedName>
    <definedName name="dr_x_216">'S.36.01.01'!$E$13</definedName>
    <definedName name="dr_x_217">'S.36.01.01'!$F$13</definedName>
    <definedName name="dr_x_218">'S.36.02.01'!$B$14</definedName>
    <definedName name="dr_x_219">'S.36.02.01'!$C$14</definedName>
    <definedName name="dr_x_220">'S.36.02.01'!$D$14</definedName>
    <definedName name="dr_x_221">'S.36.02.01'!$E$14</definedName>
    <definedName name="dr_x_222">'S.36.02.01'!$F$14</definedName>
    <definedName name="dr_x_223">'S.36.03.01'!$B$13</definedName>
    <definedName name="dr_x_224">'S.36.03.01'!$C$13</definedName>
    <definedName name="dr_x_225">'S.36.03.01'!$D$13</definedName>
    <definedName name="dr_x_226">'S.36.03.01'!$E$13</definedName>
    <definedName name="dr_x_227">'S.36.03.01'!$F$13</definedName>
    <definedName name="dr_x_228">'S.36.04.01'!$B$13</definedName>
    <definedName name="dr_x_229">'S.36.04.01'!$C$13</definedName>
    <definedName name="dr_x_23">'S.06.02.01'!$B$13</definedName>
    <definedName name="dr_x_230">'S.36.04.01'!$D$13</definedName>
    <definedName name="dr_x_231">'S.36.04.01'!$E$13</definedName>
    <definedName name="dr_x_232">'S.37.01.04'!$B$13</definedName>
    <definedName name="dr_x_233">'S.37.01.04'!$C$13</definedName>
    <definedName name="dr_x_234">'S.37.01.04'!$D$13</definedName>
    <definedName name="dr_x_235">'S.37.01.04'!$E$13</definedName>
    <definedName name="dr_x_236">'E.01.01.16'!$B$13</definedName>
    <definedName name="dr_x_237">'E.03.01.16'!$D$29</definedName>
    <definedName name="dr_x_238">'SPV.02.01.20'!$B$46</definedName>
    <definedName name="dr_x_239">'SPV.02.01.20'!$B$58</definedName>
    <definedName name="dr_x_24">'S.06.02.01'!$C$13</definedName>
    <definedName name="dr_x_240">'SPV.02.01.20'!$B$70</definedName>
    <definedName name="dr_x_241">'SPV.02.02.20'!$B$33</definedName>
    <definedName name="dr_x_242">'SPV.02.02.20'!$B$45</definedName>
    <definedName name="dr_x_243">'SPV.03.01.20'!$B$26</definedName>
    <definedName name="dr_x_244">'SPV.03.02.20'!$B$26</definedName>
    <definedName name="dr_x_245">'T.99.01.01'!$B$13</definedName>
    <definedName name="dr_x_246">'T.99.01.01'!$C$13</definedName>
    <definedName name="dr_x_247">'T.99.01.01'!$D$13</definedName>
    <definedName name="dr_x_248">'T.99.01.01'!$E$13</definedName>
    <definedName name="dr_x_25">'S.06.02.01'!$D$13</definedName>
    <definedName name="dr_x_26">'S.06.02.01'!$E$13</definedName>
    <definedName name="dr_x_27">'S.06.02.01'!$B$25</definedName>
    <definedName name="dr_x_28">'S.06.02.04'!$B$13</definedName>
    <definedName name="dr_x_29">'S.06.02.04'!$C$13</definedName>
    <definedName name="dr_x_3">'S.01.03.01'!$C$25</definedName>
    <definedName name="dr_x_30">'S.06.02.04'!$D$13</definedName>
    <definedName name="dr_x_31">'S.06.02.04'!$E$13</definedName>
    <definedName name="dr_x_32">'S.06.02.04'!$F$13</definedName>
    <definedName name="dr_x_33">'S.06.02.04'!$B$25</definedName>
    <definedName name="dr_x_34">'S.06.02.07'!$B$13</definedName>
    <definedName name="dr_x_35">'S.06.02.07'!$C$13</definedName>
    <definedName name="dr_x_36">'S.06.02.07'!$D$13</definedName>
    <definedName name="dr_x_37">'S.06.02.07'!$E$13</definedName>
    <definedName name="dr_x_38">'S.06.02.07'!$B$25</definedName>
    <definedName name="dr_x_39">'SE.06.02.16'!$B$13</definedName>
    <definedName name="dr_x_4">'S.01.03.04'!$B$13</definedName>
    <definedName name="dr_x_40">'SE.06.02.16'!$C$13</definedName>
    <definedName name="dr_x_41">'SE.06.02.16'!$D$13</definedName>
    <definedName name="dr_x_42">'SE.06.02.16'!$E$13</definedName>
    <definedName name="dr_x_43">'SE.06.02.16'!$B$25</definedName>
    <definedName name="dr_x_44">'SE.06.02.18'!$B$13</definedName>
    <definedName name="dr_x_45">'SE.06.02.18'!$C$13</definedName>
    <definedName name="dr_x_46">'SE.06.02.18'!$D$13</definedName>
    <definedName name="dr_x_47">'SE.06.02.18'!$E$13</definedName>
    <definedName name="dr_x_48">'SE.06.02.18'!$B$25</definedName>
    <definedName name="dr_x_49">'S.06.03.01'!$B$13</definedName>
    <definedName name="dr_x_5">'S.01.03.04'!$C$13</definedName>
    <definedName name="dr_x_50">'S.06.03.01'!$C$13</definedName>
    <definedName name="dr_x_51">'S.06.03.04'!$B$13</definedName>
    <definedName name="dr_x_52">'S.06.03.04'!$C$13</definedName>
    <definedName name="dr_x_53">'S.07.01.01'!$B$13</definedName>
    <definedName name="dr_x_54">'S.07.01.01'!$C$13</definedName>
    <definedName name="dr_x_55">'S.07.01.04'!$B$13</definedName>
    <definedName name="dr_x_56">'S.07.01.04'!$C$13</definedName>
    <definedName name="dr_x_57">'S.07.01.04'!$D$13</definedName>
    <definedName name="dr_x_58">'S.08.01.01'!$B$13</definedName>
    <definedName name="dr_x_59">'S.08.01.01'!$C$13</definedName>
    <definedName name="dr_x_6">'S.01.03.04'!$B$25</definedName>
    <definedName name="dr_x_60">'S.08.01.01'!$D$13</definedName>
    <definedName name="dr_x_61">'S.08.01.01'!$E$13</definedName>
    <definedName name="dr_x_62">'S.08.01.01'!$B$25</definedName>
    <definedName name="dr_x_63">'S.08.01.04'!$B$13</definedName>
    <definedName name="dr_x_64">'S.08.01.04'!$C$13</definedName>
    <definedName name="dr_x_65">'S.08.01.04'!$D$13</definedName>
    <definedName name="dr_x_66">'S.08.01.04'!$E$13</definedName>
    <definedName name="dr_x_67">'S.08.01.04'!$F$13</definedName>
    <definedName name="dr_x_68">'S.08.01.04'!$B$25</definedName>
    <definedName name="dr_x_69">'S.08.02.01'!$B$13</definedName>
    <definedName name="dr_x_7">'S.01.03.04'!$C$25</definedName>
    <definedName name="dr_x_70">'S.08.02.01'!$C$13</definedName>
    <definedName name="dr_x_71">'S.08.02.01'!$D$13</definedName>
    <definedName name="dr_x_72">'S.08.02.01'!$E$13</definedName>
    <definedName name="dr_x_73">'S.08.02.01'!$B$25</definedName>
    <definedName name="dr_x_74">'S.08.02.04'!$B$13</definedName>
    <definedName name="dr_x_75">'S.08.02.04'!$C$13</definedName>
    <definedName name="dr_x_76">'S.08.02.04'!$D$13</definedName>
    <definedName name="dr_x_77">'S.08.02.04'!$E$13</definedName>
    <definedName name="dr_x_78">'S.08.02.04'!$F$13</definedName>
    <definedName name="dr_x_79">'S.08.02.04'!$B$25</definedName>
    <definedName name="dr_x_80">'S.09.01.01'!$B$13</definedName>
    <definedName name="dr_x_81">'S.09.01.04'!$B$13</definedName>
    <definedName name="dr_x_82">'S.09.01.04'!$C$13</definedName>
    <definedName name="dr_x_83">'S.10.01.01'!$B$13</definedName>
    <definedName name="dr_x_84">'S.10.01.01'!$C$13</definedName>
    <definedName name="dr_x_85">'S.10.01.04'!$B$13</definedName>
    <definedName name="dr_x_86">'S.10.01.04'!$C$13</definedName>
    <definedName name="dr_x_87">'S.10.01.04'!$D$13</definedName>
    <definedName name="dr_x_88">'S.11.01.01'!$B$14</definedName>
    <definedName name="dr_x_89">'S.11.01.01'!$C$14</definedName>
    <definedName name="dr_x_9">'S.02.03.07'!$B$26</definedName>
    <definedName name="dr_x_90">'S.11.01.01'!$B$27</definedName>
    <definedName name="dr_x_91">'S.11.01.04'!$B$14</definedName>
    <definedName name="dr_x_92">'S.11.01.04'!$C$14</definedName>
    <definedName name="dr_x_93">'S.11.01.04'!$D$14</definedName>
    <definedName name="dr_x_94">'S.11.01.04'!$B$27</definedName>
    <definedName name="dr_x_95">'S.12.02.01'!$D$29</definedName>
    <definedName name="dr_x_96">'S.14.01.01'!$B$13</definedName>
    <definedName name="dr_x_97">'S.14.01.01'!$C$13</definedName>
    <definedName name="dr_x_98">'S.14.01.01'!$D$13</definedName>
    <definedName name="dr_x_99">'S.14.01.01'!$B$25</definedName>
    <definedName name="dr_y_112">'S.22.06.01'!$D$33</definedName>
    <definedName name="dr_y_114">'S.22.06.01'!$E$67</definedName>
    <definedName name="dr_y_15">'S.04.01.01'!$D$36</definedName>
    <definedName name="dr_y_16">'S.04.01.01'!$E$36</definedName>
    <definedName name="dr_y_17">'S.04.01.01'!$D$56</definedName>
    <definedName name="dr_y_18">'S.04.01.01'!$D$76</definedName>
    <definedName name="dr_y_19">'S.04.02.01'!$D$29</definedName>
    <definedName name="dr_y_20">'S.04.02.01'!$E$29</definedName>
    <definedName name="dr_y_21">'S.05.02.01'!$D$54</definedName>
    <definedName name="dr_y_22">'S.05.02.01'!$D$167</definedName>
    <definedName name="dr_y_8">'S.02.02.01'!$D$44</definedName>
    <definedName name="hier_AM_11">Hierarchies!$BC$2:$BC$3</definedName>
    <definedName name="hier_AM_6">Hierarchies!$HQ$2:$HQ$4</definedName>
    <definedName name="hier_AM_7">Hierarchies!$FC$2:$FC$3</definedName>
    <definedName name="hier_AM_8">Hierarchies!$DU$2:$DU$3</definedName>
    <definedName name="hier_AO_1">Hierarchies!$EF$2:$EF$3</definedName>
    <definedName name="hier_AO_2">Hierarchies!$IF$2:$IF$3</definedName>
    <definedName name="hier_AP_11">Hierarchies!$BO$2:$BO$3</definedName>
    <definedName name="hier_AP_12">Hierarchies!$EL$2:$EL$3</definedName>
    <definedName name="hier_AP_13">Hierarchies!$HO$2:$HO$3</definedName>
    <definedName name="hier_AP_14">Hierarchies!$EI$2:$EI$5</definedName>
    <definedName name="hier_AP_15">Hierarchies!$IQ$2:$IQ$3</definedName>
    <definedName name="hier_AP_16">Hierarchies!$IR$2:$IR$3</definedName>
    <definedName name="hier_AP_17">Hierarchies!$EK$2:$EK$3</definedName>
    <definedName name="hier_AP_18">Hierarchies!$EG$2:$EG$5</definedName>
    <definedName name="hier_AP_23">Hierarchies!$CJ$2:$CJ$6</definedName>
    <definedName name="hier_AP_24">Hierarchies!$EH$2:$EH$4</definedName>
    <definedName name="hier_AP_25">Hierarchies!$EJ$2:$EJ$3</definedName>
    <definedName name="hier_AP_26">Hierarchies!$EM$2:$EM$3</definedName>
    <definedName name="hier_AP_27">Hierarchies!$EN$2:$EN$3</definedName>
    <definedName name="hier_AP_28">Hierarchies!$ER$2:$ER$3</definedName>
    <definedName name="hier_AP_3">Hierarchies!$BD$2:$BD$4</definedName>
    <definedName name="hier_AP_4">Hierarchies!$BE$2:$BE$3</definedName>
    <definedName name="hier_AP_5">Hierarchies!$BH$2:$BH$3</definedName>
    <definedName name="hier_AP_6">Hierarchies!$BI$2:$BI$3</definedName>
    <definedName name="hier_AP_7">Hierarchies!$BJ$2:$BJ$3</definedName>
    <definedName name="hier_AP_8">Hierarchies!$HC$2:$HC$3</definedName>
    <definedName name="hier_AP_9">Hierarchies!$BP$2:$BP$4</definedName>
    <definedName name="hier_BR_3">Hierarchies!$DD$2:$DD$9</definedName>
    <definedName name="hier_BR_4">Hierarchies!$CN$2:$CN$12</definedName>
    <definedName name="hier_CA_1">Hierarchies!$DW$2:$DW$3</definedName>
    <definedName name="hier_CG_11">Hierarchies!$CY$2:$CY$4</definedName>
    <definedName name="hier_CG_2">Hierarchies!$CE$2:$CE$6</definedName>
    <definedName name="hier_CG_5">Hierarchies!$CT$2:$CT$4</definedName>
    <definedName name="hier_CG_7">Hierarchies!$DQ$2:$DQ$5</definedName>
    <definedName name="hier_CG_9">Hierarchies!$DO$2:$DO$6</definedName>
    <definedName name="hier_CN_1">Hierarchies!$AF$2:$AF$3</definedName>
    <definedName name="hier_CN_100">Hierarchies!$HZ$2:$HZ$6</definedName>
    <definedName name="hier_CN_101">Hierarchies!$IA$2:$IA$6</definedName>
    <definedName name="hier_CN_102">Hierarchies!$IB$2:$IB$5</definedName>
    <definedName name="hier_CN_103">Hierarchies!$IC$2:$IC$5</definedName>
    <definedName name="hier_CN_104">Hierarchies!$ID$2:$ID$5</definedName>
    <definedName name="hier_CN_106">Hierarchies!$HU$2:$HU$4</definedName>
    <definedName name="hier_CN_108">Hierarchies!$AH$2:$AH$6</definedName>
    <definedName name="hier_CN_109">Hierarchies!$GN$2:$GN$7</definedName>
    <definedName name="hier_CN_111">Hierarchies!$IK$2:$IK$6</definedName>
    <definedName name="hier_CN_112">Hierarchies!$AE$2:$AE$4</definedName>
    <definedName name="hier_CN_113">Hierarchies!$J$2:$J$4</definedName>
    <definedName name="hier_CN_114">Hierarchies!$IJ$2:$IJ$4</definedName>
    <definedName name="hier_CN_115">Hierarchies!$HV$2:$HV$4</definedName>
    <definedName name="hier_CN_116">Hierarchies!$K$2:$K$4</definedName>
    <definedName name="hier_CN_117">Hierarchies!$N$2:$N$7</definedName>
    <definedName name="hier_CN_118">Hierarchies!$GH$2:$GH$7</definedName>
    <definedName name="hier_CN_119">Hierarchies!$HX$2:$HX$7</definedName>
    <definedName name="hier_CN_120">Hierarchies!$O$2:$O$6</definedName>
    <definedName name="hier_CN_121">Hierarchies!$HY$2:$HY$6</definedName>
    <definedName name="hier_CN_122">Hierarchies!$IP$2:$IP$6</definedName>
    <definedName name="hier_CN_123">Hierarchies!$AB$2:$AB$5</definedName>
    <definedName name="hier_CN_124">Hierarchies!$AK$2:$AK$9</definedName>
    <definedName name="hier_CN_125">Hierarchies!$GQ$2:$GQ$10</definedName>
    <definedName name="hier_CN_126">Hierarchies!$GI$2:$GI$6</definedName>
    <definedName name="hier_CN_127">Hierarchies!$BL$2:$BL$8</definedName>
    <definedName name="hier_CN_13">Hierarchies!$GU$2:$GU$4</definedName>
    <definedName name="hier_CN_14">Hierarchies!$B$2:$B$4</definedName>
    <definedName name="hier_CN_15">Hierarchies!$Q$2:$Q$3</definedName>
    <definedName name="hier_CN_16">Hierarchies!$GD$2:$GD$5</definedName>
    <definedName name="hier_CN_17">Hierarchies!$GC$2:$GC$5</definedName>
    <definedName name="hier_CN_18">Hierarchies!$D$2:$D$4</definedName>
    <definedName name="hier_CN_19">Hierarchies!$GE$2:$GE$5</definedName>
    <definedName name="hier_CN_2">Hierarchies!$A$2</definedName>
    <definedName name="hier_CN_20">Hierarchies!$E$2:$E$4</definedName>
    <definedName name="hier_CN_23">Hierarchies!$M$2:$M$5</definedName>
    <definedName name="hier_CN_24">Hierarchies!$GG$2:$GG$5</definedName>
    <definedName name="hier_CN_27">Hierarchies!$L$2:$L$5</definedName>
    <definedName name="hier_CN_28">Hierarchies!$P$2:$P$6</definedName>
    <definedName name="hier_CN_29">Hierarchies!$GJ$2:$GJ$6</definedName>
    <definedName name="hier_CN_30">Hierarchies!$V$2:$V$4</definedName>
    <definedName name="hier_CN_31">Hierarchies!$U$2:$U$5</definedName>
    <definedName name="hier_CN_32">Hierarchies!$AA$2:$AA$4</definedName>
    <definedName name="hier_CN_33">Hierarchies!$Z$2:$Z$6</definedName>
    <definedName name="hier_CN_34">Hierarchies!$F$2:$F$4</definedName>
    <definedName name="hier_CN_35">Hierarchies!$G$2:$G$4</definedName>
    <definedName name="hier_CN_36">Hierarchies!$H$2:$H$4</definedName>
    <definedName name="hier_CN_37">Hierarchies!$I$2:$I$5</definedName>
    <definedName name="hier_CN_39">Hierarchies!$R$2:$R$6</definedName>
    <definedName name="hier_CN_40">Hierarchies!$S$2:$S$5</definedName>
    <definedName name="hier_CN_41">Hierarchies!$W$2:$W$5</definedName>
    <definedName name="hier_CN_42">Hierarchies!$X$2:$X$4</definedName>
    <definedName name="hier_CN_43">Hierarchies!$AC$2:$AC$4</definedName>
    <definedName name="hier_CN_45">Hierarchies!$AD$2:$AD$4</definedName>
    <definedName name="hier_CN_46">Hierarchies!$AG$2:$AG$4</definedName>
    <definedName name="hier_CN_49">Hierarchies!$GO$2:$GO$6</definedName>
    <definedName name="hier_CN_50">Hierarchies!$GP$2:$GP$6</definedName>
    <definedName name="hier_CN_51">Hierarchies!$AN$2:$AN$7</definedName>
    <definedName name="hier_CN_52">Hierarchies!$GT$2:$GT$8</definedName>
    <definedName name="hier_CN_53">Hierarchies!$AL$2:$AL$8</definedName>
    <definedName name="hier_CN_54">Hierarchies!$GR$2:$GR$9</definedName>
    <definedName name="hier_CN_55">Hierarchies!$AM$2:$AM$9</definedName>
    <definedName name="hier_CN_56">Hierarchies!$GS$2:$GS$10</definedName>
    <definedName name="hier_CN_57">Hierarchies!$AQ$2:$AQ$4</definedName>
    <definedName name="hier_CN_58">Hierarchies!$AR$2:$AR$4</definedName>
    <definedName name="hier_CN_59">Hierarchies!$AS$2:$AS$4</definedName>
    <definedName name="hier_CN_60">Hierarchies!$AT$2:$AT$5</definedName>
    <definedName name="hier_CN_61">Hierarchies!$GV$2:$GV$4</definedName>
    <definedName name="hier_CN_62">Hierarchies!$AU$2:$AU$5</definedName>
    <definedName name="hier_CN_63">Hierarchies!$GW$2:$GW$4</definedName>
    <definedName name="hier_CN_64">Hierarchies!$AV$2:$AV$5</definedName>
    <definedName name="hier_CN_65">Hierarchies!$GX$2:$GX$4</definedName>
    <definedName name="hier_CN_66">Hierarchies!$AW$2:$AW$5</definedName>
    <definedName name="hier_CN_67">Hierarchies!$GY$2:$GY$4</definedName>
    <definedName name="hier_CN_68">Hierarchies!$GZ$2:$GZ$4</definedName>
    <definedName name="hier_CN_75">Hierarchies!$II$2:$II$4</definedName>
    <definedName name="hier_CN_77">Hierarchies!$FW$2:$FW$5</definedName>
    <definedName name="hier_CN_78">Hierarchies!$HT$2:$HT$6</definedName>
    <definedName name="hier_CN_79">Hierarchies!$FZ$2:$FZ$5</definedName>
    <definedName name="hier_CN_8">Hierarchies!$AI$2:$AI$5</definedName>
    <definedName name="hier_CN_81">Hierarchies!$C$2:$C$4</definedName>
    <definedName name="hier_CN_83">Hierarchies!$T$2:$T$5</definedName>
    <definedName name="hier_CN_84">Hierarchies!$Y$2:$Y$5</definedName>
    <definedName name="hier_CN_85">Hierarchies!$AO$2:$AO$4</definedName>
    <definedName name="hier_CN_86">Hierarchies!$AP$2:$AP$4</definedName>
    <definedName name="hier_CN_87">Hierarchies!$GF$2:$GF$4</definedName>
    <definedName name="hier_CN_89">Hierarchies!$GK$2:$GK$6</definedName>
    <definedName name="hier_CN_9">Hierarchies!$AJ$2:$AJ$5</definedName>
    <definedName name="hier_CN_90">Hierarchies!$GL$2:$GL$5</definedName>
    <definedName name="hier_CN_92">Hierarchies!$FX$2:$FX$4</definedName>
    <definedName name="hier_CN_93">Hierarchies!$FY$2:$FY$4</definedName>
    <definedName name="hier_CN_94">Hierarchies!$IL$2:$IL$4</definedName>
    <definedName name="hier_CN_95">Hierarchies!$IM$2:$IM$5</definedName>
    <definedName name="hier_CN_96">Hierarchies!$GM$2:$GM$4</definedName>
    <definedName name="hier_CN_97">Hierarchies!$HW$2:$HW$5</definedName>
    <definedName name="hier_CS_10">Hierarchies!$HR$2:$HR$3</definedName>
    <definedName name="hier_CS_11">Hierarchies!$BR$2:$BR$3</definedName>
    <definedName name="hier_CS_12">Hierarchies!$BA$2:$BA$5</definedName>
    <definedName name="hier_CS_13">Hierarchies!$BK$2:$BK$3</definedName>
    <definedName name="hier_CS_14">Hierarchies!$HA$2:$HA$3</definedName>
    <definedName name="hier_CS_15">Hierarchies!$HD$2:$HD$4</definedName>
    <definedName name="hier_CS_16">Hierarchies!$HL$2:$HL$11</definedName>
    <definedName name="hier_CS_20">Hierarchies!$HK$2:$HK$5</definedName>
    <definedName name="hier_CS_21">Hierarchies!$HB$2:$HB$4</definedName>
    <definedName name="hier_CS_3">Hierarchies!$HJ$2:$HJ$3</definedName>
    <definedName name="hier_CS_4">Hierarchies!$HP$2:$HP$3</definedName>
    <definedName name="hier_CU_1">Hierarchies!$CI$2:$CI$193</definedName>
    <definedName name="hier_CU_4">Hierarchies!$CQ$2:$CQ$4</definedName>
    <definedName name="hier_CU_5">Hierarchies!$BB$2:$BB$192</definedName>
    <definedName name="hier_EL_13">Hierarchies!$EC$2:$EC$6</definedName>
    <definedName name="hier_EL_14">Hierarchies!$ED$2:$ED$3</definedName>
    <definedName name="hier_EL_7">Hierarchies!$BT$2:$BT$4</definedName>
    <definedName name="hier_EX_5">Hierarchies!$HS$2:$HS$11</definedName>
    <definedName name="hier_GA_1">Hierarchies!$AY$2:$AY$257</definedName>
    <definedName name="hier_GA_18">Hierarchies!$CB$2:$CB$256</definedName>
    <definedName name="hier_GA_32">Hierarchies!$BX$2:$BX$32</definedName>
    <definedName name="hier_GA_33">Hierarchies!$BZ$2:$BZ$225</definedName>
    <definedName name="hier_GA_35">Hierarchies!$CP$2:$CP$258</definedName>
    <definedName name="hier_GA_36">Hierarchies!$EQ$2:$EQ$223</definedName>
    <definedName name="hier_GA_4">Hierarchies!$CH$2:$CH$259</definedName>
    <definedName name="hier_GA_5">Hierarchies!$FM$2:$FM$257</definedName>
    <definedName name="hier_LA_1">Hierarchies!$AZ$2:$AZ$185</definedName>
    <definedName name="hier_LB_19">Hierarchies!$DL$2:$DL$4</definedName>
    <definedName name="hier_LB_22">Hierarchies!$DN$2:$DN$5</definedName>
    <definedName name="hier_LB_28">Hierarchies!$DM$2:$DM$5</definedName>
    <definedName name="hier_LB_30">Hierarchies!$DY$2:$DY$13</definedName>
    <definedName name="hier_LB_31">Hierarchies!$DS$2:$DS$17</definedName>
    <definedName name="hier_LB_32">Hierarchies!$ET$2:$ET$19</definedName>
    <definedName name="hier_LB_33">Hierarchies!$EV$2:$EV$29</definedName>
    <definedName name="hier_LB_4">Hierarchies!$CD$2:$CD$4</definedName>
    <definedName name="hier_LB_43">Hierarchies!$FR$2:$FR$37</definedName>
    <definedName name="hier_LB_47">Hierarchies!$EB$2:$EB$3</definedName>
    <definedName name="hier_LB_48">Hierarchies!$DK$2:$DK$6</definedName>
    <definedName name="hier_LB_49">Hierarchies!$FA$2:$FA$38</definedName>
    <definedName name="hier_LB_50">Hierarchies!$DJ$2:$DJ$9</definedName>
    <definedName name="hier_LB_51">Hierarchies!$CS$2:$CS$16</definedName>
    <definedName name="hier_LB_52">Hierarchies!$BV$2:$BV$37</definedName>
    <definedName name="hier_LT_1">Hierarchies!$BS$2:$BS$12</definedName>
    <definedName name="hier_LT_3">Hierarchies!$FE$2:$FE$6</definedName>
    <definedName name="hier_LT_4">Hierarchies!$FF$2:$FF$3</definedName>
    <definedName name="hier_LT_5">Hierarchies!$DE$2:$DE$8</definedName>
    <definedName name="hier_MC_18">Hierarchies!$FD$2:$FD$6</definedName>
    <definedName name="hier_MC_26">Hierarchies!$CO$2:$CO$19</definedName>
    <definedName name="hier_MC_28">Hierarchies!$DG$2:$DG$17</definedName>
    <definedName name="hier_MC_29">Hierarchies!$CR$2:$CR$12</definedName>
    <definedName name="hier_MC_30">Hierarchies!$CW$2:$CW$3</definedName>
    <definedName name="hier_MC_31">Hierarchies!$DI$2:$DI$12</definedName>
    <definedName name="hier_MC_32">Hierarchies!$DA$2:$DA$7</definedName>
    <definedName name="hier_MC_33">Hierarchies!$DF$2:$DF$7</definedName>
    <definedName name="hier_MC_35">Hierarchies!$FO$2:$FO$7</definedName>
    <definedName name="hier_MC_36">Hierarchies!$FP$2:$FP$11</definedName>
    <definedName name="hier_MC_37">Hierarchies!$FT$2:$FT$5</definedName>
    <definedName name="hier_MC_48">Hierarchies!$IO$2:$IO$5</definedName>
    <definedName name="hier_MC_50">Hierarchies!$CK$2:$CK$11</definedName>
    <definedName name="hier_NC_1">Hierarchies!$CG$2:$CG$984</definedName>
    <definedName name="hier_PC_1">Hierarchies!$CV$2:$CV$7</definedName>
    <definedName name="hier_PC_2">Hierarchies!$CU$2:$CU$8</definedName>
    <definedName name="hier_PC_3">Hierarchies!$CX$2:$CX$3</definedName>
    <definedName name="hier_PU_15">Hierarchies!$BG$2:$BG$3</definedName>
    <definedName name="hier_PU_17">Hierarchies!$BN$2:$BN$3</definedName>
    <definedName name="hier_PU_19">Hierarchies!$CZ$2:$CZ$5</definedName>
    <definedName name="hier_PU_20">Hierarchies!$FV$2:$FV$3</definedName>
    <definedName name="hier_PU_23">Hierarchies!$BF$2:$BF$3</definedName>
    <definedName name="hier_PU_24">Hierarchies!$IG$2:$IG$3</definedName>
    <definedName name="hier_PU_25">Hierarchies!$IH$2:$IH$3</definedName>
    <definedName name="hier_PU_27">Hierarchies!$HE$2:$HE$9</definedName>
    <definedName name="hier_PU_30">Hierarchies!$GB$2:$GB$3</definedName>
    <definedName name="hier_PU_33">Hierarchies!$CC$2:$CC$7</definedName>
    <definedName name="hier_PU_34">Hierarchies!$BQ$2:$BQ$3</definedName>
    <definedName name="hier_PU_35">Hierarchies!$HN$2:$HN$5</definedName>
    <definedName name="hier_PU_37">Hierarchies!$BM$2:$BM$4</definedName>
    <definedName name="hier_PU_39">Hierarchies!$CL$2:$CL$4</definedName>
    <definedName name="hier_RT_10">Hierarchies!$EO$2:$EO$4</definedName>
    <definedName name="hier_RT_13">Hierarchies!$FG$2:$FG$7</definedName>
    <definedName name="hier_RT_14">Hierarchies!$FH$2:$FH$4</definedName>
    <definedName name="hier_SE_14">Hierarchies!$EY$2:$EY$11</definedName>
    <definedName name="hier_SE_16">Hierarchies!$FI$2:$FI$3</definedName>
    <definedName name="hier_SE_17">Hierarchies!$FL$2:$FL$6</definedName>
    <definedName name="hier_SE_18">Hierarchies!$IN$2:$IN$12</definedName>
    <definedName name="hier_SE_21">Hierarchies!$AX$2:$AX$6</definedName>
    <definedName name="hier_SE_22">Hierarchies!$IE$2:$IE$5</definedName>
    <definedName name="hier_SE_23">Hierarchies!$HH$2:$HH$17</definedName>
    <definedName name="hier_SE_26">Hierarchies!$CM$2:$CM$56</definedName>
    <definedName name="hier_SE_27">Hierarchies!$DC$2:$DC$55</definedName>
    <definedName name="hier_SE_28">Hierarchies!$HG$2:$HG$56</definedName>
    <definedName name="hier_SE_29">Hierarchies!$HF$2:$HF$57</definedName>
    <definedName name="hier_SE_8">Hierarchies!$HI$2:$HI$3</definedName>
    <definedName name="hier_TB_11">Hierarchies!$FB$2:$FB$15</definedName>
    <definedName name="hier_TB_12">Hierarchies!$FJ$2:$FJ$8</definedName>
    <definedName name="hier_TB_13">Hierarchies!$FK$2:$FK$3</definedName>
    <definedName name="hier_TB_14">Hierarchies!$FS$2:$FS$18</definedName>
    <definedName name="hier_TB_2">Hierarchies!$DP$2:$DP$5</definedName>
    <definedName name="hier_TB_3">Hierarchies!$DZ$2:$DZ$6</definedName>
    <definedName name="hier_TB_4">Hierarchies!$EW$2:$EW$4</definedName>
    <definedName name="hier_TB_7">Hierarchies!$FN$2:$FN$5</definedName>
    <definedName name="hier_TB_8">Hierarchies!$DH$2:$DH$5</definedName>
    <definedName name="hier_TB_9">Hierarchies!$EX$2:$EX$3</definedName>
    <definedName name="hier_VM_23">Hierarchies!$CF$2:$CF$7</definedName>
    <definedName name="hier_VM_24">Hierarchies!$DB$2:$DB$5</definedName>
    <definedName name="Modules" localSheetId="0">'General data'!$S$1:$S$19</definedName>
    <definedName name="PP_CompressOutput" localSheetId="0">'General data'!$D$49</definedName>
    <definedName name="PP_ConcatenateAssertionMessages">'General data'!$D$37</definedName>
    <definedName name="PP_Country" localSheetId="0">'General data'!$D$16</definedName>
    <definedName name="PP_Currency" localSheetId="0">'General data'!$D$18</definedName>
    <definedName name="PP_Debug" localSheetId="0">'General data'!$D$51</definedName>
    <definedName name="PP_DecimalDecimals" localSheetId="0">'General data'!$D$33</definedName>
    <definedName name="PP_DecimalPrecision" localSheetId="0">'General data'!$D$35</definedName>
    <definedName name="PP_DeclarerType" localSheetId="0">'General data'!$D$44</definedName>
    <definedName name="PP_Domain" localSheetId="0">'General data'!$D$46</definedName>
    <definedName name="PP_FilingEmailAddress" localSheetId="0">'General data'!$D$42</definedName>
    <definedName name="PP_Identifier" localSheetId="0">'General data'!$D$10</definedName>
    <definedName name="PP_Language" localSheetId="0">'General data'!$D$50</definedName>
    <definedName name="PP_Module" localSheetId="0">'General data'!$D$22</definedName>
    <definedName name="PP_MonetaryDecimals" localSheetId="0">'General data'!$D$29</definedName>
    <definedName name="PP_MonetaryPrecision" localSheetId="0">'General data'!$D$31</definedName>
    <definedName name="PP_Period_end_date" localSheetId="0">'General data'!$D$14</definedName>
    <definedName name="PP_Period_start_date" localSheetId="0">'General data'!$D$12</definedName>
    <definedName name="PP_PostParser" localSheetId="0">'General data'!$D$40</definedName>
    <definedName name="PP_PostParserParameter" localSheetId="0">'General data'!$D$48</definedName>
    <definedName name="PP_Taxonomy" localSheetId="0">'General data'!$D$20</definedName>
    <definedName name="rAddReqs" localSheetId="0">'General data'!$39:$53</definedName>
    <definedName name="rAddTitle" localSheetId="0">'General data'!$B$38</definedName>
    <definedName name="rEntryPointCode">'General data'!$E$22</definedName>
    <definedName name="rEntryPointNumber">'General data'!$J$8</definedName>
    <definedName name="rVersion">'General data'!$J$1</definedName>
    <definedName name="Taxonomies" localSheetId="0">'General data'!$W$1:$W$1</definedName>
    <definedName name="TekstcontroleSchermExcel" localSheetId="2" hidden="1">{"BRIEF",#N/A,FALSE,"BRIEF";"OFFBAL",#N/A,FALSE,"OFFBAL"}</definedName>
    <definedName name="TekstcontroleSchermExcel" localSheetId="1" hidden="1">{"BRIEF",#N/A,FALSE,"BRIEF";"OFFBAL",#N/A,FALSE,"OFFBAL"}</definedName>
    <definedName name="TekstcontroleSchermExcel" hidden="1">{"BRIEF",#N/A,FALSE,"BRIEF";"OFFBAL",#N/A,FALSE,"OFFBAL"}</definedName>
    <definedName name="wrn.TEST." localSheetId="2" hidden="1">{"BRIEF",#N/A,FALSE,"BRIEF";"OFFBAL",#N/A,FALSE,"OFFBAL"}</definedName>
    <definedName name="wrn.TEST." localSheetId="1" hidden="1">{"BRIEF",#N/A,FALSE,"BRIEF";"OFFBAL",#N/A,FALSE,"OFFBAL"}</definedName>
    <definedName name="wrn.TEST." hidden="1">{"BRIEF",#N/A,FALSE,"BRIEF";"OFFBAL",#N/A,FALSE,"OFFBAL"}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7" i="88" l="1"/>
  <c r="S28" i="76"/>
  <c r="A1618" i="5" l="1"/>
  <c r="A1617" i="5"/>
  <c r="A1616" i="5"/>
  <c r="A1615" i="5"/>
  <c r="A1614" i="5"/>
  <c r="A1613" i="5"/>
  <c r="A1612" i="5"/>
  <c r="A1611" i="5"/>
  <c r="A1610" i="5"/>
  <c r="A1609" i="5"/>
  <c r="A1608" i="5"/>
  <c r="A1607" i="5"/>
  <c r="A1606" i="5"/>
  <c r="A1605" i="5"/>
  <c r="A1604" i="5"/>
  <c r="A1603" i="5"/>
  <c r="A1602" i="5"/>
  <c r="A1601" i="5"/>
  <c r="A1600" i="5"/>
  <c r="A1599" i="5"/>
  <c r="A1598" i="5"/>
  <c r="A1597" i="5"/>
  <c r="A1596" i="5"/>
  <c r="A1595" i="5"/>
  <c r="A1594" i="5"/>
  <c r="A1593" i="5"/>
  <c r="A1592" i="5"/>
  <c r="A1591" i="5"/>
  <c r="A1590" i="5"/>
  <c r="A1589" i="5"/>
  <c r="A1588" i="5"/>
  <c r="A1587" i="5"/>
  <c r="A1586" i="5"/>
  <c r="A1585" i="5"/>
  <c r="A1584" i="5"/>
  <c r="A1583" i="5"/>
  <c r="A1582" i="5"/>
  <c r="A1581" i="5"/>
  <c r="A1580" i="5"/>
  <c r="A1579" i="5"/>
  <c r="A1578" i="5"/>
  <c r="A1577" i="5"/>
  <c r="A1576" i="5"/>
  <c r="A1575" i="5"/>
  <c r="A1574" i="5"/>
  <c r="A1573" i="5"/>
  <c r="A1572" i="5"/>
  <c r="A1571" i="5"/>
  <c r="A1570" i="5"/>
  <c r="A1569" i="5"/>
  <c r="A1568" i="5"/>
  <c r="A1567" i="5"/>
  <c r="A1566" i="5"/>
  <c r="A1565" i="5"/>
  <c r="A1564" i="5"/>
  <c r="A1563" i="5"/>
  <c r="A1562" i="5"/>
  <c r="A1561" i="5"/>
  <c r="A1560" i="5"/>
  <c r="A1559" i="5"/>
  <c r="A1558" i="5"/>
  <c r="A1557" i="5"/>
  <c r="A1556" i="5"/>
  <c r="A1555" i="5"/>
  <c r="A1554" i="5"/>
  <c r="A1553" i="5"/>
  <c r="A1552" i="5"/>
  <c r="A1551" i="5"/>
  <c r="A1550" i="5"/>
  <c r="A1549" i="5"/>
  <c r="A1548" i="5"/>
  <c r="A1547" i="5"/>
  <c r="A1546" i="5"/>
  <c r="A1545" i="5"/>
  <c r="A1544" i="5"/>
  <c r="A1543" i="5"/>
  <c r="A1542" i="5"/>
  <c r="A1541" i="5"/>
  <c r="A1540" i="5"/>
  <c r="A1539" i="5"/>
  <c r="A1538" i="5"/>
  <c r="A1537" i="5"/>
  <c r="A1536" i="5"/>
  <c r="A1535" i="5"/>
  <c r="A1534" i="5"/>
  <c r="A1533" i="5"/>
  <c r="A1532" i="5"/>
  <c r="A1531" i="5"/>
  <c r="A1530" i="5"/>
  <c r="A1529" i="5"/>
  <c r="A1528" i="5"/>
  <c r="A1527" i="5"/>
  <c r="A1526" i="5"/>
  <c r="A1525" i="5"/>
  <c r="A1524" i="5"/>
  <c r="A1523" i="5"/>
  <c r="A1522" i="5"/>
  <c r="A1521" i="5"/>
  <c r="A1520" i="5"/>
  <c r="A1519" i="5"/>
  <c r="A1518" i="5"/>
  <c r="A1517" i="5"/>
  <c r="A1516" i="5"/>
  <c r="A1515" i="5"/>
  <c r="A1514" i="5"/>
  <c r="A1513" i="5"/>
  <c r="A1512" i="5"/>
  <c r="A1511" i="5"/>
  <c r="A1510" i="5"/>
  <c r="A1509" i="5"/>
  <c r="A1508" i="5"/>
  <c r="A1507" i="5"/>
  <c r="A1506" i="5"/>
  <c r="A1505" i="5"/>
  <c r="A1504" i="5"/>
  <c r="A1503" i="5"/>
  <c r="A1502" i="5"/>
  <c r="A1501" i="5"/>
  <c r="A1500" i="5"/>
  <c r="A1499" i="5"/>
  <c r="A1498" i="5"/>
  <c r="A1497" i="5"/>
  <c r="A1496" i="5"/>
  <c r="A1495" i="5"/>
  <c r="A1494" i="5"/>
  <c r="A1493" i="5"/>
  <c r="A1492" i="5"/>
  <c r="A1491" i="5"/>
  <c r="A1490" i="5"/>
  <c r="A1489" i="5"/>
  <c r="A1488" i="5"/>
  <c r="A1487" i="5"/>
  <c r="A1486" i="5"/>
  <c r="A1485" i="5"/>
  <c r="A1484" i="5"/>
  <c r="A1483" i="5"/>
  <c r="A1482" i="5"/>
  <c r="A1481" i="5"/>
  <c r="A1480" i="5"/>
  <c r="A1479" i="5"/>
  <c r="A1478" i="5"/>
  <c r="A1477" i="5"/>
  <c r="A1476" i="5"/>
  <c r="A1475" i="5"/>
  <c r="A1474" i="5"/>
  <c r="A1473" i="5"/>
  <c r="A1472" i="5"/>
  <c r="A1471" i="5"/>
  <c r="A1470" i="5"/>
  <c r="A1469" i="5"/>
  <c r="A1468" i="5"/>
  <c r="A1467" i="5"/>
  <c r="A1466" i="5"/>
  <c r="A1465" i="5"/>
  <c r="A1464" i="5"/>
  <c r="A1463" i="5"/>
  <c r="A1462" i="5"/>
  <c r="A1461" i="5"/>
  <c r="A1460" i="5"/>
  <c r="A1459" i="5"/>
  <c r="A1458" i="5"/>
  <c r="A1457" i="5"/>
  <c r="A1456" i="5"/>
  <c r="A1455" i="5"/>
  <c r="A1454" i="5"/>
  <c r="A1453" i="5"/>
  <c r="A1452" i="5"/>
  <c r="A1451" i="5"/>
  <c r="A1450" i="5"/>
  <c r="A1449" i="5"/>
  <c r="A1448" i="5"/>
  <c r="A1447" i="5"/>
  <c r="A1446" i="5"/>
  <c r="A1445" i="5"/>
  <c r="A1444" i="5"/>
  <c r="A1443" i="5"/>
  <c r="A1442" i="5"/>
  <c r="A1441" i="5"/>
  <c r="A1440" i="5"/>
  <c r="A1439" i="5"/>
  <c r="A1438" i="5"/>
  <c r="A1437" i="5"/>
  <c r="A1436" i="5"/>
  <c r="A1435" i="5"/>
  <c r="A1434" i="5"/>
  <c r="A1433" i="5"/>
  <c r="A1432" i="5"/>
  <c r="A1431" i="5"/>
  <c r="A1430" i="5"/>
  <c r="A1429" i="5"/>
  <c r="A1428" i="5"/>
  <c r="A1427" i="5"/>
  <c r="A1426" i="5"/>
  <c r="A1425" i="5"/>
  <c r="A1424" i="5"/>
  <c r="A1423" i="5"/>
  <c r="A1422" i="5"/>
  <c r="A1421" i="5"/>
  <c r="A1420" i="5"/>
  <c r="A1419" i="5"/>
  <c r="A1418" i="5"/>
  <c r="A1417" i="5"/>
  <c r="A1416" i="5"/>
  <c r="A1415" i="5"/>
  <c r="A1414" i="5"/>
  <c r="A1413" i="5"/>
  <c r="A1412" i="5"/>
  <c r="A1411" i="5"/>
  <c r="A1410" i="5"/>
  <c r="A1409" i="5"/>
  <c r="A1408" i="5"/>
  <c r="A1407" i="5"/>
  <c r="A1406" i="5"/>
  <c r="A1405" i="5"/>
  <c r="A1404" i="5"/>
  <c r="A1403" i="5"/>
  <c r="A1402" i="5"/>
  <c r="A1401" i="5"/>
  <c r="A1400" i="5"/>
  <c r="A1399" i="5"/>
  <c r="A1398" i="5"/>
  <c r="A1397" i="5"/>
  <c r="A1396" i="5"/>
  <c r="A1395" i="5"/>
  <c r="A1394" i="5"/>
  <c r="A1393" i="5"/>
  <c r="A1392" i="5"/>
  <c r="A1391" i="5"/>
  <c r="A1390" i="5"/>
  <c r="A1389" i="5"/>
  <c r="A1388" i="5"/>
  <c r="A1387" i="5"/>
  <c r="A1386" i="5"/>
  <c r="A1385" i="5"/>
  <c r="A1384" i="5"/>
  <c r="A1383" i="5"/>
  <c r="A1382" i="5"/>
  <c r="A1381" i="5"/>
  <c r="A1380" i="5"/>
  <c r="A1379" i="5"/>
  <c r="A1378" i="5"/>
  <c r="A1377" i="5"/>
  <c r="A1376" i="5"/>
  <c r="A1375" i="5"/>
  <c r="A1374" i="5"/>
  <c r="A1373" i="5"/>
  <c r="A1372" i="5"/>
  <c r="A1371" i="5"/>
  <c r="A1370" i="5"/>
  <c r="A1369" i="5"/>
  <c r="A1368" i="5"/>
  <c r="A1367" i="5"/>
  <c r="A1366" i="5"/>
  <c r="A1365" i="5"/>
  <c r="A1364" i="5"/>
  <c r="A1363" i="5"/>
  <c r="A1362" i="5"/>
  <c r="A1361" i="5"/>
  <c r="A1360" i="5"/>
  <c r="A1359" i="5"/>
  <c r="A1358" i="5"/>
  <c r="A1357" i="5"/>
  <c r="A1356" i="5"/>
  <c r="A1355" i="5"/>
  <c r="A1354" i="5"/>
  <c r="A1353" i="5"/>
  <c r="A1352" i="5"/>
  <c r="A1351" i="5"/>
  <c r="A1350" i="5"/>
  <c r="A1349" i="5"/>
  <c r="A1348" i="5"/>
  <c r="A1347" i="5"/>
  <c r="A1346" i="5"/>
  <c r="A1345" i="5"/>
  <c r="A1344" i="5"/>
  <c r="A1343" i="5"/>
  <c r="A1342" i="5"/>
  <c r="A1341" i="5"/>
  <c r="A1340" i="5"/>
  <c r="A1339" i="5"/>
  <c r="A1338" i="5"/>
  <c r="A1337" i="5"/>
  <c r="A1336" i="5"/>
  <c r="A1335" i="5"/>
  <c r="A1334" i="5"/>
  <c r="A1333" i="5"/>
  <c r="A1332" i="5"/>
  <c r="A1331" i="5"/>
  <c r="A1330" i="5"/>
  <c r="A1329" i="5"/>
  <c r="A1328" i="5"/>
  <c r="A1327" i="5"/>
  <c r="A1326" i="5"/>
  <c r="A1325" i="5"/>
  <c r="A1324" i="5"/>
  <c r="A1323" i="5"/>
  <c r="A1322" i="5"/>
  <c r="A1321" i="5"/>
  <c r="A1320" i="5"/>
  <c r="A1319" i="5"/>
  <c r="A1318" i="5"/>
  <c r="A1317" i="5"/>
  <c r="A1316" i="5"/>
  <c r="A1315" i="5"/>
  <c r="A1314" i="5"/>
  <c r="A1313" i="5"/>
  <c r="A1312" i="5"/>
  <c r="A1311" i="5"/>
  <c r="A1310" i="5"/>
  <c r="A1309" i="5"/>
  <c r="A1308" i="5"/>
  <c r="A1307" i="5"/>
  <c r="A1306" i="5"/>
  <c r="A1305" i="5"/>
  <c r="A1304" i="5"/>
  <c r="A1303" i="5"/>
  <c r="A1302" i="5"/>
  <c r="A1301" i="5"/>
  <c r="A1300" i="5"/>
  <c r="A1299" i="5"/>
  <c r="A1298" i="5"/>
  <c r="A1297" i="5"/>
  <c r="A1296" i="5"/>
  <c r="A1295" i="5"/>
  <c r="A1294" i="5"/>
  <c r="A1293" i="5"/>
  <c r="A1292" i="5"/>
  <c r="A1291" i="5"/>
  <c r="A1290" i="5"/>
  <c r="A1289" i="5"/>
  <c r="A1288" i="5"/>
  <c r="A1287" i="5"/>
  <c r="A1286" i="5"/>
  <c r="A1285" i="5"/>
  <c r="A1284" i="5"/>
  <c r="A1283" i="5"/>
  <c r="A1282" i="5"/>
  <c r="A1281" i="5"/>
  <c r="A1280" i="5"/>
  <c r="A1279" i="5"/>
  <c r="A1278" i="5"/>
  <c r="A1277" i="5"/>
  <c r="A1276" i="5"/>
  <c r="A1275" i="5"/>
  <c r="A1274" i="5"/>
  <c r="A1273" i="5"/>
  <c r="A1272" i="5"/>
  <c r="A1271" i="5"/>
  <c r="A1270" i="5"/>
  <c r="A1269" i="5"/>
  <c r="A1268" i="5"/>
  <c r="A1267" i="5"/>
  <c r="A1266" i="5"/>
  <c r="A1265" i="5"/>
  <c r="A1264" i="5"/>
  <c r="A1263" i="5"/>
  <c r="A1262" i="5"/>
  <c r="A1261" i="5"/>
  <c r="A1260" i="5"/>
  <c r="A1259" i="5"/>
  <c r="A1258" i="5"/>
  <c r="A1257" i="5"/>
  <c r="A1256" i="5"/>
  <c r="A1255" i="5"/>
  <c r="A1254" i="5"/>
  <c r="A1253" i="5"/>
  <c r="A1252" i="5"/>
  <c r="A1251" i="5"/>
  <c r="A1250" i="5"/>
  <c r="A1249" i="5"/>
  <c r="A1248" i="5"/>
  <c r="A1247" i="5"/>
  <c r="A1246" i="5"/>
  <c r="A1245" i="5"/>
  <c r="A1244" i="5"/>
  <c r="A1243" i="5"/>
  <c r="A1242" i="5"/>
  <c r="A1241" i="5"/>
  <c r="A1240" i="5"/>
  <c r="A1239" i="5"/>
  <c r="A1238" i="5"/>
  <c r="A1237" i="5"/>
  <c r="A1236" i="5"/>
  <c r="A1235" i="5"/>
  <c r="A1234" i="5"/>
  <c r="A1233" i="5"/>
  <c r="A1232" i="5"/>
  <c r="A1231" i="5"/>
  <c r="A1230" i="5"/>
  <c r="A1229" i="5"/>
  <c r="A1228" i="5"/>
  <c r="A1227" i="5"/>
  <c r="A1226" i="5"/>
  <c r="A1225" i="5"/>
  <c r="A1224" i="5"/>
  <c r="A1223" i="5"/>
  <c r="A1222" i="5"/>
  <c r="A1221" i="5"/>
  <c r="A1220" i="5"/>
  <c r="A1219" i="5"/>
  <c r="A1218" i="5"/>
  <c r="A1217" i="5"/>
  <c r="A1216" i="5"/>
  <c r="A1215" i="5"/>
  <c r="A1214" i="5"/>
  <c r="A1213" i="5"/>
  <c r="A1212" i="5"/>
  <c r="A1211" i="5"/>
  <c r="A1210" i="5"/>
  <c r="A1209" i="5"/>
  <c r="A1208" i="5"/>
  <c r="A1207" i="5"/>
  <c r="A1206" i="5"/>
  <c r="A1205" i="5"/>
  <c r="A1204" i="5"/>
  <c r="A1203" i="5"/>
  <c r="A1202" i="5"/>
  <c r="A1201" i="5"/>
  <c r="A1200" i="5"/>
  <c r="A1199" i="5"/>
  <c r="A1198" i="5"/>
  <c r="A1197" i="5"/>
  <c r="A1196" i="5"/>
  <c r="A1195" i="5"/>
  <c r="A1194" i="5"/>
  <c r="A1193" i="5"/>
  <c r="A1192" i="5"/>
  <c r="A1191" i="5"/>
  <c r="A1190" i="5"/>
  <c r="A1189" i="5"/>
  <c r="A1188" i="5"/>
  <c r="A1187" i="5"/>
  <c r="A1186" i="5"/>
  <c r="A1185" i="5"/>
  <c r="A1184" i="5"/>
  <c r="A1183" i="5"/>
  <c r="A1182" i="5"/>
  <c r="A1181" i="5"/>
  <c r="A1180" i="5"/>
  <c r="A1179" i="5"/>
  <c r="A1178" i="5"/>
  <c r="A1177" i="5"/>
  <c r="A1176" i="5"/>
  <c r="A1175" i="5"/>
  <c r="A1174" i="5"/>
  <c r="A1173" i="5"/>
  <c r="A1172" i="5"/>
  <c r="A1171" i="5"/>
  <c r="A1170" i="5"/>
  <c r="A1169" i="5"/>
  <c r="A1168" i="5"/>
  <c r="A1167" i="5"/>
  <c r="A1166" i="5"/>
  <c r="A1165" i="5"/>
  <c r="A1164" i="5"/>
  <c r="A1163" i="5"/>
  <c r="A1162" i="5"/>
  <c r="A1161" i="5"/>
  <c r="A1160" i="5"/>
  <c r="A1159" i="5"/>
  <c r="A1158" i="5"/>
  <c r="A1157" i="5"/>
  <c r="A1156" i="5"/>
  <c r="A1155" i="5"/>
  <c r="A1154" i="5"/>
  <c r="A1153" i="5"/>
  <c r="A1152" i="5"/>
  <c r="A1151" i="5"/>
  <c r="A1150" i="5"/>
  <c r="A1149" i="5"/>
  <c r="A1148" i="5"/>
  <c r="A1147" i="5"/>
  <c r="A1146" i="5"/>
  <c r="A1145" i="5"/>
  <c r="A1144" i="5"/>
  <c r="A1143" i="5"/>
  <c r="A1142" i="5"/>
  <c r="A1141" i="5"/>
  <c r="A1140" i="5"/>
  <c r="A1139" i="5"/>
  <c r="A1138" i="5"/>
  <c r="A1137" i="5"/>
  <c r="A1136" i="5"/>
  <c r="A1135" i="5"/>
  <c r="A1134" i="5"/>
  <c r="A1133" i="5"/>
  <c r="A1132" i="5"/>
  <c r="A1131" i="5"/>
  <c r="A1130" i="5"/>
  <c r="A1129" i="5"/>
  <c r="A1128" i="5"/>
  <c r="A1127" i="5"/>
  <c r="A1126" i="5"/>
  <c r="A1125" i="5"/>
  <c r="A1124" i="5"/>
  <c r="A1123" i="5"/>
  <c r="A1122" i="5"/>
  <c r="A1121" i="5"/>
  <c r="A1120" i="5"/>
  <c r="A1119" i="5"/>
  <c r="A1118" i="5"/>
  <c r="A1117" i="5"/>
  <c r="A1116" i="5"/>
  <c r="A1115" i="5"/>
  <c r="A1114" i="5"/>
  <c r="A1113" i="5"/>
  <c r="A1112" i="5"/>
  <c r="A1111" i="5"/>
  <c r="A1110" i="5"/>
  <c r="A1109" i="5"/>
  <c r="A1108" i="5"/>
  <c r="A1107" i="5"/>
  <c r="A1106" i="5"/>
  <c r="A1105" i="5"/>
  <c r="A1104" i="5"/>
  <c r="A1103" i="5"/>
  <c r="A1102" i="5"/>
  <c r="A1101" i="5"/>
  <c r="A1100" i="5"/>
  <c r="A1099" i="5"/>
  <c r="A1098" i="5"/>
  <c r="A1097" i="5"/>
  <c r="A1096" i="5"/>
  <c r="A1095" i="5"/>
  <c r="A1094" i="5"/>
  <c r="A1093" i="5"/>
  <c r="A1092" i="5"/>
  <c r="A1091" i="5"/>
  <c r="A1090" i="5"/>
  <c r="A1089" i="5"/>
  <c r="A1088" i="5"/>
  <c r="A1087" i="5"/>
  <c r="A1086" i="5"/>
  <c r="A1085" i="5"/>
  <c r="A1084" i="5"/>
  <c r="A1083" i="5"/>
  <c r="A1082" i="5"/>
  <c r="A1081" i="5"/>
  <c r="A1080" i="5"/>
  <c r="A1079" i="5"/>
  <c r="A1078" i="5"/>
  <c r="A1077" i="5"/>
  <c r="A1076" i="5"/>
  <c r="A1075" i="5"/>
  <c r="A1074" i="5"/>
  <c r="A1073" i="5"/>
  <c r="A1072" i="5"/>
  <c r="A1071" i="5"/>
  <c r="A1070" i="5"/>
  <c r="A1069" i="5"/>
  <c r="A1068" i="5"/>
  <c r="A1067" i="5"/>
  <c r="A1066" i="5"/>
  <c r="A1065" i="5"/>
  <c r="A1064" i="5"/>
  <c r="A1063" i="5"/>
  <c r="A1062" i="5"/>
  <c r="A1061" i="5"/>
  <c r="A1060" i="5"/>
  <c r="A1059" i="5"/>
  <c r="A1058" i="5"/>
  <c r="A1057" i="5"/>
  <c r="A1056" i="5"/>
  <c r="A1055" i="5"/>
  <c r="A1054" i="5"/>
  <c r="A1053" i="5"/>
  <c r="A1052" i="5"/>
  <c r="A1051" i="5"/>
  <c r="A1050" i="5"/>
  <c r="A1049" i="5"/>
  <c r="A1048" i="5"/>
  <c r="A1047" i="5"/>
  <c r="A1046" i="5"/>
  <c r="A1045" i="5"/>
  <c r="A1044" i="5"/>
  <c r="A1043" i="5"/>
  <c r="A1042" i="5"/>
  <c r="A1041" i="5"/>
  <c r="A1040" i="5"/>
  <c r="A1039" i="5"/>
  <c r="A1038" i="5"/>
  <c r="A1037" i="5"/>
  <c r="A1036" i="5"/>
  <c r="A1035" i="5"/>
  <c r="A1034" i="5"/>
  <c r="A1033" i="5"/>
  <c r="A1032" i="5"/>
  <c r="A1031" i="5"/>
  <c r="A1030" i="5"/>
  <c r="A1029" i="5"/>
  <c r="A1028" i="5"/>
  <c r="A1027" i="5"/>
  <c r="A1026" i="5"/>
  <c r="A1025" i="5"/>
  <c r="A1024" i="5"/>
  <c r="A1023" i="5"/>
  <c r="A1022" i="5"/>
  <c r="A1021" i="5"/>
  <c r="A1020" i="5"/>
  <c r="A1019" i="5"/>
  <c r="A1018" i="5"/>
  <c r="A1017" i="5"/>
  <c r="A1016" i="5"/>
  <c r="A1015" i="5"/>
  <c r="A1014" i="5"/>
  <c r="A1013" i="5"/>
  <c r="A1012" i="5"/>
  <c r="A1011" i="5"/>
  <c r="A1010" i="5"/>
  <c r="A1009" i="5"/>
  <c r="A1008" i="5"/>
  <c r="A1007" i="5"/>
  <c r="A1006" i="5"/>
  <c r="A1005" i="5"/>
  <c r="A1004" i="5"/>
  <c r="A1003" i="5"/>
  <c r="A1002" i="5"/>
  <c r="A1001" i="5"/>
  <c r="A1000" i="5"/>
  <c r="A999" i="5"/>
  <c r="A998" i="5"/>
  <c r="A997" i="5"/>
  <c r="A996" i="5"/>
  <c r="A995" i="5"/>
  <c r="A994" i="5"/>
  <c r="A993" i="5"/>
  <c r="A992" i="5"/>
  <c r="A991" i="5"/>
  <c r="A990" i="5"/>
  <c r="A989" i="5"/>
  <c r="A988" i="5"/>
  <c r="A987" i="5"/>
  <c r="A986" i="5"/>
  <c r="A985" i="5"/>
  <c r="A984" i="5"/>
  <c r="A983" i="5"/>
  <c r="A982" i="5"/>
  <c r="A981" i="5"/>
  <c r="A980" i="5"/>
  <c r="A979" i="5"/>
  <c r="A978" i="5"/>
  <c r="A977" i="5"/>
  <c r="A976" i="5"/>
  <c r="A975" i="5"/>
  <c r="A974" i="5"/>
  <c r="A973" i="5"/>
  <c r="A972" i="5"/>
  <c r="A971" i="5"/>
  <c r="A970" i="5"/>
  <c r="A969" i="5"/>
  <c r="A968" i="5"/>
  <c r="A967" i="5"/>
  <c r="A966" i="5"/>
  <c r="A965" i="5"/>
  <c r="A964" i="5"/>
  <c r="A963" i="5"/>
  <c r="A962" i="5"/>
  <c r="A961" i="5"/>
  <c r="A960" i="5"/>
  <c r="A959" i="5"/>
  <c r="A958" i="5"/>
  <c r="A957" i="5"/>
  <c r="A956" i="5"/>
  <c r="A955" i="5"/>
  <c r="A954" i="5"/>
  <c r="A953" i="5"/>
  <c r="A952" i="5"/>
  <c r="A951" i="5"/>
  <c r="A950" i="5"/>
  <c r="A949" i="5"/>
  <c r="A948" i="5"/>
  <c r="A947" i="5"/>
  <c r="A946" i="5"/>
  <c r="A945" i="5"/>
  <c r="A944" i="5"/>
  <c r="A943" i="5"/>
  <c r="A942" i="5"/>
  <c r="A941" i="5"/>
  <c r="A940" i="5"/>
  <c r="A939" i="5"/>
  <c r="A938" i="5"/>
  <c r="A937" i="5"/>
  <c r="A936" i="5"/>
  <c r="A935" i="5"/>
  <c r="A934" i="5"/>
  <c r="A933" i="5"/>
  <c r="A932" i="5"/>
  <c r="A931" i="5"/>
  <c r="A930" i="5"/>
  <c r="A929" i="5"/>
  <c r="A928" i="5"/>
  <c r="A927" i="5"/>
  <c r="A926" i="5"/>
  <c r="A925" i="5"/>
  <c r="A924" i="5"/>
  <c r="A923" i="5"/>
  <c r="A922" i="5"/>
  <c r="A921" i="5"/>
  <c r="A920" i="5"/>
  <c r="A919" i="5"/>
  <c r="A918" i="5"/>
  <c r="A917" i="5"/>
  <c r="A916" i="5"/>
  <c r="A915" i="5"/>
  <c r="A914" i="5"/>
  <c r="A913" i="5"/>
  <c r="A912" i="5"/>
  <c r="A911" i="5"/>
  <c r="A910" i="5"/>
  <c r="A909" i="5"/>
  <c r="A908" i="5"/>
  <c r="A907" i="5"/>
  <c r="A906" i="5"/>
  <c r="A905" i="5"/>
  <c r="A904" i="5"/>
  <c r="A903" i="5"/>
  <c r="A902" i="5"/>
  <c r="A901" i="5"/>
  <c r="A900" i="5"/>
  <c r="A899" i="5"/>
  <c r="A898" i="5"/>
  <c r="A897" i="5"/>
  <c r="A896" i="5"/>
  <c r="A895" i="5"/>
  <c r="A894" i="5"/>
  <c r="A893" i="5"/>
  <c r="A892" i="5"/>
  <c r="A891" i="5"/>
  <c r="A890" i="5"/>
  <c r="A889" i="5"/>
  <c r="A888" i="5"/>
  <c r="A887" i="5"/>
  <c r="A886" i="5"/>
  <c r="A885" i="5"/>
  <c r="A884" i="5"/>
  <c r="A883" i="5"/>
  <c r="A882" i="5"/>
  <c r="A881" i="5"/>
  <c r="A880" i="5"/>
  <c r="A879" i="5"/>
  <c r="A878" i="5"/>
  <c r="A877" i="5"/>
  <c r="A876" i="5"/>
  <c r="A875" i="5"/>
  <c r="A874" i="5"/>
  <c r="A873" i="5"/>
  <c r="A872" i="5"/>
  <c r="A871" i="5"/>
  <c r="A870" i="5"/>
  <c r="A869" i="5"/>
  <c r="A868" i="5"/>
  <c r="A867" i="5"/>
  <c r="A866" i="5"/>
  <c r="A865" i="5"/>
  <c r="A864" i="5"/>
  <c r="A863" i="5"/>
  <c r="A862" i="5"/>
  <c r="A861" i="5"/>
  <c r="A860" i="5"/>
  <c r="A859" i="5"/>
  <c r="A858" i="5"/>
  <c r="A857" i="5"/>
  <c r="A856" i="5"/>
  <c r="A855" i="5"/>
  <c r="A854" i="5"/>
  <c r="A853" i="5"/>
  <c r="A852" i="5"/>
  <c r="A851" i="5"/>
  <c r="A850" i="5"/>
  <c r="A849" i="5"/>
  <c r="A848" i="5"/>
  <c r="A847" i="5"/>
  <c r="A846" i="5"/>
  <c r="A845" i="5"/>
  <c r="A844" i="5"/>
  <c r="A843" i="5"/>
  <c r="A842" i="5"/>
  <c r="A841" i="5"/>
  <c r="A840" i="5"/>
  <c r="A839" i="5"/>
  <c r="A838" i="5"/>
  <c r="A837" i="5"/>
  <c r="A836" i="5"/>
  <c r="A835" i="5"/>
  <c r="A834" i="5"/>
  <c r="A833" i="5"/>
  <c r="A832" i="5"/>
  <c r="A831" i="5"/>
  <c r="A830" i="5"/>
  <c r="A829" i="5"/>
  <c r="A828" i="5"/>
  <c r="A827" i="5"/>
  <c r="A826" i="5"/>
  <c r="A825" i="5"/>
  <c r="A824" i="5"/>
  <c r="A823" i="5"/>
  <c r="A822" i="5"/>
  <c r="A821" i="5"/>
  <c r="A820" i="5"/>
  <c r="A819" i="5"/>
  <c r="A818" i="5"/>
  <c r="A817" i="5"/>
  <c r="A816" i="5"/>
  <c r="A815" i="5"/>
  <c r="A814" i="5"/>
  <c r="A813" i="5"/>
  <c r="A812" i="5"/>
  <c r="A811" i="5"/>
  <c r="A810" i="5"/>
  <c r="A809" i="5"/>
  <c r="A808" i="5"/>
  <c r="A807" i="5"/>
  <c r="A806" i="5"/>
  <c r="A805" i="5"/>
  <c r="A804" i="5"/>
  <c r="A803" i="5"/>
  <c r="A802" i="5"/>
  <c r="A801" i="5"/>
  <c r="A800" i="5"/>
  <c r="A799" i="5"/>
  <c r="A798" i="5"/>
  <c r="A797" i="5"/>
  <c r="A796" i="5"/>
  <c r="A795" i="5"/>
  <c r="A794" i="5"/>
  <c r="A793" i="5"/>
  <c r="A792" i="5"/>
  <c r="A791" i="5"/>
  <c r="A790" i="5"/>
  <c r="A789" i="5"/>
  <c r="A788" i="5"/>
  <c r="A787" i="5"/>
  <c r="A786" i="5"/>
  <c r="A785" i="5"/>
  <c r="A784" i="5"/>
  <c r="A783" i="5"/>
  <c r="A782" i="5"/>
  <c r="A781" i="5"/>
  <c r="A780" i="5"/>
  <c r="A779" i="5"/>
  <c r="A778" i="5"/>
  <c r="A777" i="5"/>
  <c r="A776" i="5"/>
  <c r="A775" i="5"/>
  <c r="A774" i="5"/>
  <c r="A773" i="5"/>
  <c r="A772" i="5"/>
  <c r="A771" i="5"/>
  <c r="A770" i="5"/>
  <c r="A769" i="5"/>
  <c r="A768" i="5"/>
  <c r="A767" i="5"/>
  <c r="A766" i="5"/>
  <c r="A765" i="5"/>
  <c r="A764" i="5"/>
  <c r="A763" i="5"/>
  <c r="A762" i="5"/>
  <c r="A761" i="5"/>
  <c r="A760" i="5"/>
  <c r="A759" i="5"/>
  <c r="A758" i="5"/>
  <c r="A757" i="5"/>
  <c r="A756" i="5"/>
  <c r="A755" i="5"/>
  <c r="A754" i="5"/>
  <c r="A753" i="5"/>
  <c r="A752" i="5"/>
  <c r="A751" i="5"/>
  <c r="A750" i="5"/>
  <c r="A749" i="5"/>
  <c r="A748" i="5"/>
  <c r="A747" i="5"/>
  <c r="A746" i="5"/>
  <c r="A745" i="5"/>
  <c r="A744" i="5"/>
  <c r="A743" i="5"/>
  <c r="A742" i="5"/>
  <c r="A741" i="5"/>
  <c r="A740" i="5"/>
  <c r="A739" i="5"/>
  <c r="A738" i="5"/>
  <c r="A737" i="5"/>
  <c r="A736" i="5"/>
  <c r="A735" i="5"/>
  <c r="A734" i="5"/>
  <c r="A733" i="5"/>
  <c r="A732" i="5"/>
  <c r="A731" i="5"/>
  <c r="A730" i="5"/>
  <c r="A729" i="5"/>
  <c r="A728" i="5"/>
  <c r="A727" i="5"/>
  <c r="A726" i="5"/>
  <c r="A725" i="5"/>
  <c r="A724" i="5"/>
  <c r="A723" i="5"/>
  <c r="A722" i="5"/>
  <c r="A721" i="5"/>
  <c r="A720" i="5"/>
  <c r="A719" i="5"/>
  <c r="A718" i="5"/>
  <c r="A717" i="5"/>
  <c r="A716" i="5"/>
  <c r="A715" i="5"/>
  <c r="A714" i="5"/>
  <c r="A713" i="5"/>
  <c r="A712" i="5"/>
  <c r="A711" i="5"/>
  <c r="A710" i="5"/>
  <c r="A709" i="5"/>
  <c r="A708" i="5"/>
  <c r="A707" i="5"/>
  <c r="A706" i="5"/>
  <c r="A705" i="5"/>
  <c r="A704" i="5"/>
  <c r="A703" i="5"/>
  <c r="A702" i="5"/>
  <c r="A701" i="5"/>
  <c r="A700" i="5"/>
  <c r="A699" i="5"/>
  <c r="A698" i="5"/>
  <c r="A697" i="5"/>
  <c r="A696" i="5"/>
  <c r="A695" i="5"/>
  <c r="A694" i="5"/>
  <c r="A693" i="5"/>
  <c r="A692" i="5"/>
  <c r="A691" i="5"/>
  <c r="A690" i="5"/>
  <c r="A689" i="5"/>
  <c r="A688" i="5"/>
  <c r="A687" i="5"/>
  <c r="A686" i="5"/>
  <c r="A685" i="5"/>
  <c r="A684" i="5"/>
  <c r="A683" i="5"/>
  <c r="A682" i="5"/>
  <c r="A681" i="5"/>
  <c r="A680" i="5"/>
  <c r="A679" i="5"/>
  <c r="A678" i="5"/>
  <c r="A677" i="5"/>
  <c r="A676" i="5"/>
  <c r="A675" i="5"/>
  <c r="A674" i="5"/>
  <c r="A673" i="5"/>
  <c r="A672" i="5"/>
  <c r="A671" i="5"/>
  <c r="A670" i="5"/>
  <c r="A669" i="5"/>
  <c r="A668" i="5"/>
  <c r="A667" i="5"/>
  <c r="A666" i="5"/>
  <c r="A665" i="5"/>
  <c r="A664" i="5"/>
  <c r="A663" i="5"/>
  <c r="A662" i="5"/>
  <c r="A661" i="5"/>
  <c r="A660" i="5"/>
  <c r="A659" i="5"/>
  <c r="A658" i="5"/>
  <c r="A657" i="5"/>
  <c r="A656" i="5"/>
  <c r="A655" i="5"/>
  <c r="A654" i="5"/>
  <c r="A653" i="5"/>
  <c r="A652" i="5"/>
  <c r="A651" i="5"/>
  <c r="A650" i="5"/>
  <c r="A649" i="5"/>
  <c r="A648" i="5"/>
  <c r="A647" i="5"/>
  <c r="A646" i="5"/>
  <c r="A645" i="5"/>
  <c r="A644" i="5"/>
  <c r="A643" i="5"/>
  <c r="A642" i="5"/>
  <c r="A641" i="5"/>
  <c r="A640" i="5"/>
  <c r="A639" i="5"/>
  <c r="A638" i="5"/>
  <c r="A637" i="5"/>
  <c r="A636" i="5"/>
  <c r="A635" i="5"/>
  <c r="A634" i="5"/>
  <c r="A633" i="5"/>
  <c r="A632" i="5"/>
  <c r="A631" i="5"/>
  <c r="A630" i="5"/>
  <c r="A629" i="5"/>
  <c r="A628" i="5"/>
  <c r="A627" i="5"/>
  <c r="A626" i="5"/>
  <c r="A625" i="5"/>
  <c r="A624" i="5"/>
  <c r="A623" i="5"/>
  <c r="A622" i="5"/>
  <c r="A621" i="5"/>
  <c r="A620" i="5"/>
  <c r="A619" i="5"/>
  <c r="A618" i="5"/>
  <c r="A617" i="5"/>
  <c r="A616" i="5"/>
  <c r="A615" i="5"/>
  <c r="A614" i="5"/>
  <c r="A613" i="5"/>
  <c r="A612" i="5"/>
  <c r="A611" i="5"/>
  <c r="A610" i="5"/>
  <c r="A609" i="5"/>
  <c r="A608" i="5"/>
  <c r="A607" i="5"/>
  <c r="A606" i="5"/>
  <c r="A605" i="5"/>
  <c r="A604" i="5"/>
  <c r="A603" i="5"/>
  <c r="A602" i="5"/>
  <c r="A601" i="5"/>
  <c r="A600" i="5"/>
  <c r="A599" i="5"/>
  <c r="A598" i="5"/>
  <c r="A597" i="5"/>
  <c r="A596" i="5"/>
  <c r="A595" i="5"/>
  <c r="A594" i="5"/>
  <c r="A593" i="5"/>
  <c r="A592" i="5"/>
  <c r="A591" i="5"/>
  <c r="A590" i="5"/>
  <c r="A589" i="5"/>
  <c r="A588" i="5"/>
  <c r="A587" i="5"/>
  <c r="A586" i="5"/>
  <c r="A585" i="5"/>
  <c r="A584" i="5"/>
  <c r="A583" i="5"/>
  <c r="A582" i="5"/>
  <c r="A581" i="5"/>
  <c r="A580" i="5"/>
  <c r="A579" i="5"/>
  <c r="A578" i="5"/>
  <c r="A577" i="5"/>
  <c r="A576" i="5"/>
  <c r="A575" i="5"/>
  <c r="A574" i="5"/>
  <c r="A573" i="5"/>
  <c r="A572" i="5"/>
  <c r="A571" i="5"/>
  <c r="A570" i="5"/>
  <c r="A569" i="5"/>
  <c r="A568" i="5"/>
  <c r="A567" i="5"/>
  <c r="A566" i="5"/>
  <c r="A565" i="5"/>
  <c r="A564" i="5"/>
  <c r="A563" i="5"/>
  <c r="A562" i="5"/>
  <c r="A561" i="5"/>
  <c r="A560" i="5"/>
  <c r="A559" i="5"/>
  <c r="A558" i="5"/>
  <c r="A557" i="5"/>
  <c r="A556" i="5"/>
  <c r="A555" i="5"/>
  <c r="A554" i="5"/>
  <c r="A553" i="5"/>
  <c r="A552" i="5"/>
  <c r="A551" i="5"/>
  <c r="A550" i="5"/>
  <c r="A549" i="5"/>
  <c r="A548" i="5"/>
  <c r="A547" i="5"/>
  <c r="A546" i="5"/>
  <c r="A545" i="5"/>
  <c r="A544" i="5"/>
  <c r="A543" i="5"/>
  <c r="A542" i="5"/>
  <c r="A541" i="5"/>
  <c r="A540" i="5"/>
  <c r="A539" i="5"/>
  <c r="A538" i="5"/>
  <c r="A537" i="5"/>
  <c r="A536" i="5"/>
  <c r="A535" i="5"/>
  <c r="A534" i="5"/>
  <c r="A533" i="5"/>
  <c r="A532" i="5"/>
  <c r="A531" i="5"/>
  <c r="A530" i="5"/>
  <c r="A529" i="5"/>
  <c r="A528" i="5"/>
  <c r="A527" i="5"/>
  <c r="A526" i="5"/>
  <c r="A525" i="5"/>
  <c r="A524" i="5"/>
  <c r="A523" i="5"/>
  <c r="A522" i="5"/>
  <c r="A521" i="5"/>
  <c r="A520" i="5"/>
  <c r="A519" i="5"/>
  <c r="A518" i="5"/>
  <c r="A517" i="5"/>
  <c r="A516" i="5"/>
  <c r="A515" i="5"/>
  <c r="A514" i="5"/>
  <c r="A513" i="5"/>
  <c r="A512" i="5"/>
  <c r="A511" i="5"/>
  <c r="A510" i="5"/>
  <c r="A509" i="5"/>
  <c r="A508" i="5"/>
  <c r="A507" i="5"/>
  <c r="A506" i="5"/>
  <c r="A505"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J22" i="196" l="1"/>
  <c r="I22" i="196"/>
  <c r="B1618" i="5"/>
  <c r="B1617" i="5"/>
  <c r="B1616" i="5"/>
  <c r="B1615" i="5"/>
  <c r="B1614" i="5"/>
  <c r="B1613" i="5"/>
  <c r="B1612" i="5"/>
  <c r="B1611" i="5"/>
  <c r="B1610" i="5"/>
  <c r="B1609" i="5"/>
  <c r="B1608" i="5"/>
  <c r="B1607" i="5"/>
  <c r="J13" i="196"/>
  <c r="I13" i="196"/>
  <c r="J29" i="25"/>
  <c r="I29" i="25"/>
  <c r="B1606" i="5"/>
  <c r="B1605" i="5"/>
  <c r="B1604" i="5"/>
  <c r="B1603" i="5"/>
  <c r="B1602" i="5"/>
  <c r="B1601" i="5"/>
  <c r="B1600" i="5"/>
  <c r="B1599" i="5"/>
  <c r="B1598" i="5"/>
  <c r="B1597" i="5"/>
  <c r="B1596" i="5"/>
  <c r="B1595" i="5"/>
  <c r="B1594" i="5"/>
  <c r="B1593" i="5"/>
  <c r="B1592" i="5"/>
  <c r="B1591" i="5"/>
  <c r="B1590" i="5"/>
  <c r="B1589" i="5"/>
  <c r="B1588" i="5"/>
  <c r="B1587" i="5"/>
  <c r="B1586" i="5"/>
  <c r="B1585" i="5"/>
  <c r="B1584" i="5"/>
  <c r="B1583" i="5"/>
  <c r="B1582" i="5"/>
  <c r="B1581" i="5"/>
  <c r="B1580" i="5"/>
  <c r="B1579" i="5"/>
  <c r="B1578" i="5"/>
  <c r="J13" i="25"/>
  <c r="I13" i="25"/>
  <c r="J82" i="24"/>
  <c r="I82" i="24"/>
  <c r="B1577" i="5"/>
  <c r="B1576" i="5"/>
  <c r="B1575" i="5"/>
  <c r="B1574" i="5"/>
  <c r="B1573" i="5"/>
  <c r="B1572" i="5"/>
  <c r="B1571" i="5"/>
  <c r="B1570" i="5"/>
  <c r="B1569" i="5"/>
  <c r="B1568" i="5"/>
  <c r="B1567" i="5"/>
  <c r="B1566" i="5"/>
  <c r="B1565" i="5"/>
  <c r="B1564" i="5"/>
  <c r="B1563" i="5"/>
  <c r="B1562" i="5"/>
  <c r="B1561" i="5"/>
  <c r="B1560" i="5"/>
  <c r="B1559" i="5"/>
  <c r="B1558" i="5"/>
  <c r="B1557" i="5"/>
  <c r="B1556" i="5"/>
  <c r="B1555" i="5"/>
  <c r="B1554" i="5"/>
  <c r="B1553" i="5"/>
  <c r="B1552" i="5"/>
  <c r="B1551" i="5"/>
  <c r="B1550" i="5"/>
  <c r="B1549" i="5"/>
  <c r="B1548" i="5"/>
  <c r="B1547" i="5"/>
  <c r="B1546" i="5"/>
  <c r="B1545" i="5"/>
  <c r="B1544" i="5"/>
  <c r="B1543" i="5"/>
  <c r="B1542" i="5"/>
  <c r="B1541" i="5"/>
  <c r="B1540" i="5"/>
  <c r="B1539" i="5"/>
  <c r="B1538" i="5"/>
  <c r="B1537" i="5"/>
  <c r="B1536" i="5"/>
  <c r="B1535" i="5"/>
  <c r="B1534" i="5"/>
  <c r="B1533" i="5"/>
  <c r="B1532" i="5"/>
  <c r="B1531" i="5"/>
  <c r="B1530" i="5"/>
  <c r="B1529" i="5"/>
  <c r="B1528" i="5"/>
  <c r="B1527" i="5"/>
  <c r="B1526" i="5"/>
  <c r="B1525" i="5"/>
  <c r="B1524" i="5"/>
  <c r="B1523" i="5"/>
  <c r="B1522" i="5"/>
  <c r="B1521" i="5"/>
  <c r="B1520" i="5"/>
  <c r="B1519" i="5"/>
  <c r="B1518" i="5"/>
  <c r="B1517" i="5"/>
  <c r="B1516" i="5"/>
  <c r="B1515" i="5"/>
  <c r="B1514" i="5"/>
  <c r="B1513" i="5"/>
  <c r="B1512" i="5"/>
  <c r="B1511" i="5"/>
  <c r="B1510" i="5"/>
  <c r="B1509" i="5"/>
  <c r="B1508" i="5"/>
  <c r="B1507" i="5"/>
  <c r="B1506" i="5"/>
  <c r="B1505" i="5"/>
  <c r="B1504" i="5"/>
  <c r="B1503" i="5"/>
  <c r="B1502" i="5"/>
  <c r="B1501" i="5"/>
  <c r="B1500" i="5"/>
  <c r="B1499" i="5"/>
  <c r="B1498" i="5"/>
  <c r="B1497" i="5"/>
  <c r="B1496" i="5"/>
  <c r="B1495" i="5"/>
  <c r="B1494" i="5"/>
  <c r="B1493" i="5"/>
  <c r="B1492" i="5"/>
  <c r="B1491" i="5"/>
  <c r="B1490" i="5"/>
  <c r="B1489" i="5"/>
  <c r="B1488" i="5"/>
  <c r="B1487" i="5"/>
  <c r="B1486" i="5"/>
  <c r="B1485" i="5"/>
  <c r="B1484" i="5"/>
  <c r="B1483" i="5"/>
  <c r="B1482" i="5"/>
  <c r="B1481" i="5"/>
  <c r="B1480" i="5"/>
  <c r="B1479" i="5"/>
  <c r="B1478" i="5"/>
  <c r="B1477" i="5"/>
  <c r="B1476" i="5"/>
  <c r="B1475" i="5"/>
  <c r="B1474" i="5"/>
  <c r="B1473" i="5"/>
  <c r="B1472" i="5"/>
  <c r="B1471" i="5"/>
  <c r="B1470" i="5"/>
  <c r="B1469" i="5"/>
  <c r="B1468" i="5"/>
  <c r="B1467" i="5"/>
  <c r="B1466" i="5"/>
  <c r="B1465" i="5"/>
  <c r="B1464" i="5"/>
  <c r="B1463" i="5"/>
  <c r="B1462" i="5"/>
  <c r="B1461" i="5"/>
  <c r="B1460" i="5"/>
  <c r="B1459" i="5"/>
  <c r="B1458" i="5"/>
  <c r="B1457" i="5"/>
  <c r="B1456" i="5"/>
  <c r="B1455" i="5"/>
  <c r="B1454" i="5"/>
  <c r="B1453" i="5"/>
  <c r="B1452" i="5"/>
  <c r="B1451" i="5"/>
  <c r="B1450" i="5"/>
  <c r="B1449" i="5"/>
  <c r="B1448" i="5"/>
  <c r="B1447" i="5"/>
  <c r="B1446" i="5"/>
  <c r="B1445" i="5"/>
  <c r="B1444" i="5"/>
  <c r="B1443" i="5"/>
  <c r="B1442" i="5"/>
  <c r="B1441" i="5"/>
  <c r="B1440" i="5"/>
  <c r="B1439" i="5"/>
  <c r="B1438" i="5"/>
  <c r="B1437" i="5"/>
  <c r="B1436" i="5"/>
  <c r="B1435" i="5"/>
  <c r="B1434" i="5"/>
  <c r="B1433" i="5"/>
  <c r="B1432" i="5"/>
  <c r="B1431" i="5"/>
  <c r="B1430" i="5"/>
  <c r="B1429" i="5"/>
  <c r="B1428" i="5"/>
  <c r="B1427" i="5"/>
  <c r="B1426" i="5"/>
  <c r="B1425" i="5"/>
  <c r="B1424" i="5"/>
  <c r="B1423" i="5"/>
  <c r="B1422" i="5"/>
  <c r="B1421" i="5"/>
  <c r="B1420" i="5"/>
  <c r="B1419" i="5"/>
  <c r="B1418" i="5"/>
  <c r="B1417" i="5"/>
  <c r="B1416" i="5"/>
  <c r="B1415" i="5"/>
  <c r="B1414" i="5"/>
  <c r="B1413" i="5"/>
  <c r="B1412" i="5"/>
  <c r="B1411" i="5"/>
  <c r="B1410" i="5"/>
  <c r="B1409" i="5"/>
  <c r="B1408" i="5"/>
  <c r="B1407" i="5"/>
  <c r="B1406" i="5"/>
  <c r="B1405" i="5"/>
  <c r="B1404" i="5"/>
  <c r="B1403" i="5"/>
  <c r="B1402" i="5"/>
  <c r="B1401" i="5"/>
  <c r="B1400" i="5"/>
  <c r="B1399" i="5"/>
  <c r="B1398" i="5"/>
  <c r="B1397" i="5"/>
  <c r="B1396" i="5"/>
  <c r="B1395" i="5"/>
  <c r="B1394" i="5"/>
  <c r="B1393" i="5"/>
  <c r="B1392" i="5"/>
  <c r="B1391" i="5"/>
  <c r="B1390" i="5"/>
  <c r="B1389" i="5"/>
  <c r="B1388" i="5"/>
  <c r="B1387" i="5"/>
  <c r="B1386" i="5"/>
  <c r="B1385" i="5"/>
  <c r="B1384" i="5"/>
  <c r="B1383" i="5"/>
  <c r="B1382" i="5"/>
  <c r="B1381" i="5"/>
  <c r="B1380" i="5"/>
  <c r="B1379" i="5"/>
  <c r="B1378" i="5"/>
  <c r="B1377" i="5"/>
  <c r="B1376" i="5"/>
  <c r="B1375" i="5"/>
  <c r="B1374" i="5"/>
  <c r="B1373" i="5"/>
  <c r="B1372" i="5"/>
  <c r="B1371" i="5"/>
  <c r="B1370" i="5"/>
  <c r="B1369" i="5"/>
  <c r="B1368" i="5"/>
  <c r="B1367" i="5"/>
  <c r="B1366" i="5"/>
  <c r="B1365" i="5"/>
  <c r="J13" i="24"/>
  <c r="I13" i="24"/>
  <c r="J29" i="23"/>
  <c r="I29" i="23"/>
  <c r="B1364" i="5"/>
  <c r="B1363" i="5"/>
  <c r="B1362" i="5"/>
  <c r="B1361" i="5"/>
  <c r="B1360" i="5"/>
  <c r="B1359" i="5"/>
  <c r="B1358" i="5"/>
  <c r="B1357" i="5"/>
  <c r="B1356" i="5"/>
  <c r="B1355" i="5"/>
  <c r="B1354" i="5"/>
  <c r="B1353" i="5"/>
  <c r="B1352" i="5"/>
  <c r="B1351" i="5"/>
  <c r="B1350" i="5"/>
  <c r="B1349" i="5"/>
  <c r="B1348" i="5"/>
  <c r="B1347" i="5"/>
  <c r="B1346" i="5"/>
  <c r="B1345" i="5"/>
  <c r="B1344" i="5"/>
  <c r="B1343" i="5"/>
  <c r="B1342" i="5"/>
  <c r="B1341" i="5"/>
  <c r="B1340" i="5"/>
  <c r="B1339" i="5"/>
  <c r="B1338" i="5"/>
  <c r="J13" i="23"/>
  <c r="I13" i="23"/>
  <c r="J90" i="22"/>
  <c r="I90" i="22"/>
  <c r="B1337" i="5"/>
  <c r="B1336" i="5"/>
  <c r="B1335" i="5"/>
  <c r="B1334" i="5"/>
  <c r="B1333" i="5"/>
  <c r="B1332" i="5"/>
  <c r="B1331" i="5"/>
  <c r="B1330" i="5"/>
  <c r="B1329" i="5"/>
  <c r="B1328" i="5"/>
  <c r="B1327" i="5"/>
  <c r="B1326" i="5"/>
  <c r="B1325" i="5"/>
  <c r="B1324" i="5"/>
  <c r="B1323" i="5"/>
  <c r="B1322" i="5"/>
  <c r="B1321" i="5"/>
  <c r="B1320" i="5"/>
  <c r="B1319" i="5"/>
  <c r="B1318" i="5"/>
  <c r="B1317" i="5"/>
  <c r="B1316" i="5"/>
  <c r="B1315" i="5"/>
  <c r="B1314" i="5"/>
  <c r="B1313" i="5"/>
  <c r="B1312" i="5"/>
  <c r="B1311" i="5"/>
  <c r="B1310" i="5"/>
  <c r="B1309" i="5"/>
  <c r="B1308" i="5"/>
  <c r="B1307" i="5"/>
  <c r="B1306" i="5"/>
  <c r="B1305" i="5"/>
  <c r="B1304" i="5"/>
  <c r="B1303" i="5"/>
  <c r="B1302" i="5"/>
  <c r="B1301" i="5"/>
  <c r="B1300" i="5"/>
  <c r="B1299" i="5"/>
  <c r="B1298" i="5"/>
  <c r="B1297" i="5"/>
  <c r="B1296" i="5"/>
  <c r="B1295" i="5"/>
  <c r="B1294" i="5"/>
  <c r="B1293" i="5"/>
  <c r="B1292" i="5"/>
  <c r="B1291" i="5"/>
  <c r="B1290" i="5"/>
  <c r="B1289" i="5"/>
  <c r="B1288" i="5"/>
  <c r="B1287" i="5"/>
  <c r="B1286" i="5"/>
  <c r="B1285" i="5"/>
  <c r="B1284" i="5"/>
  <c r="B1283" i="5"/>
  <c r="B1282" i="5"/>
  <c r="B1281" i="5"/>
  <c r="B1280" i="5"/>
  <c r="B1279" i="5"/>
  <c r="B1278" i="5"/>
  <c r="B1277" i="5"/>
  <c r="B1276" i="5"/>
  <c r="B1275" i="5"/>
  <c r="B1274" i="5"/>
  <c r="B1273" i="5"/>
  <c r="B1272" i="5"/>
  <c r="B1271" i="5"/>
  <c r="B1270" i="5"/>
  <c r="B1269" i="5"/>
  <c r="B1268" i="5"/>
  <c r="B1267" i="5"/>
  <c r="B1266" i="5"/>
  <c r="B1265" i="5"/>
  <c r="B1264" i="5"/>
  <c r="B1263" i="5"/>
  <c r="B1262" i="5"/>
  <c r="B1261" i="5"/>
  <c r="B1260" i="5"/>
  <c r="B1259" i="5"/>
  <c r="B1258" i="5"/>
  <c r="B1257" i="5"/>
  <c r="B1256" i="5"/>
  <c r="B1255" i="5"/>
  <c r="B1254" i="5"/>
  <c r="B1253" i="5"/>
  <c r="B1252" i="5"/>
  <c r="B1251" i="5"/>
  <c r="B1250" i="5"/>
  <c r="B1249" i="5"/>
  <c r="B1248" i="5"/>
  <c r="B1247" i="5"/>
  <c r="B1246" i="5"/>
  <c r="B1245" i="5"/>
  <c r="B1244" i="5"/>
  <c r="B1243" i="5"/>
  <c r="B1242" i="5"/>
  <c r="B1241" i="5"/>
  <c r="B1240" i="5"/>
  <c r="B1239" i="5"/>
  <c r="B1238" i="5"/>
  <c r="B1237" i="5"/>
  <c r="B1236" i="5"/>
  <c r="B1235" i="5"/>
  <c r="B1234" i="5"/>
  <c r="B1233" i="5"/>
  <c r="B1232" i="5"/>
  <c r="B1231" i="5"/>
  <c r="B1230" i="5"/>
  <c r="B1229" i="5"/>
  <c r="B1228" i="5"/>
  <c r="B1227" i="5"/>
  <c r="B1226" i="5"/>
  <c r="B1225" i="5"/>
  <c r="B1224" i="5"/>
  <c r="B1223" i="5"/>
  <c r="B1222" i="5"/>
  <c r="B1221" i="5"/>
  <c r="B1220" i="5"/>
  <c r="B1219" i="5"/>
  <c r="B1218" i="5"/>
  <c r="B1217" i="5"/>
  <c r="B1216" i="5"/>
  <c r="B1215" i="5"/>
  <c r="B1214" i="5"/>
  <c r="B1213" i="5"/>
  <c r="B1212" i="5"/>
  <c r="B1211" i="5"/>
  <c r="B1210" i="5"/>
  <c r="B1209" i="5"/>
  <c r="B1208" i="5"/>
  <c r="B1207" i="5"/>
  <c r="B1206" i="5"/>
  <c r="B1205" i="5"/>
  <c r="B1204" i="5"/>
  <c r="B1203" i="5"/>
  <c r="B1202" i="5"/>
  <c r="B1201" i="5"/>
  <c r="B1200" i="5"/>
  <c r="B1199" i="5"/>
  <c r="B1198" i="5"/>
  <c r="B1197" i="5"/>
  <c r="B1196" i="5"/>
  <c r="B1195" i="5"/>
  <c r="B1194" i="5"/>
  <c r="B1193" i="5"/>
  <c r="B1192" i="5"/>
  <c r="B1191" i="5"/>
  <c r="B1190" i="5"/>
  <c r="B1189" i="5"/>
  <c r="B1188" i="5"/>
  <c r="B1187" i="5"/>
  <c r="B1186" i="5"/>
  <c r="B1185" i="5"/>
  <c r="B1184" i="5"/>
  <c r="B1183" i="5"/>
  <c r="B1182" i="5"/>
  <c r="B1181" i="5"/>
  <c r="B1180" i="5"/>
  <c r="B1179" i="5"/>
  <c r="B1178" i="5"/>
  <c r="B1177" i="5"/>
  <c r="B1176" i="5"/>
  <c r="B1175" i="5"/>
  <c r="B1174" i="5"/>
  <c r="B1173" i="5"/>
  <c r="B1172" i="5"/>
  <c r="B1171" i="5"/>
  <c r="B1170" i="5"/>
  <c r="B1169" i="5"/>
  <c r="B1168" i="5"/>
  <c r="B1167" i="5"/>
  <c r="B1166" i="5"/>
  <c r="B1165" i="5"/>
  <c r="B1164" i="5"/>
  <c r="B1163" i="5"/>
  <c r="B1162" i="5"/>
  <c r="B1161" i="5"/>
  <c r="B1160" i="5"/>
  <c r="B1159" i="5"/>
  <c r="B1158" i="5"/>
  <c r="B1157" i="5"/>
  <c r="B1156" i="5"/>
  <c r="B1155" i="5"/>
  <c r="B1154" i="5"/>
  <c r="B1153" i="5"/>
  <c r="B1152" i="5"/>
  <c r="B1151" i="5"/>
  <c r="B1150" i="5"/>
  <c r="B1149" i="5"/>
  <c r="B1148" i="5"/>
  <c r="B1147" i="5"/>
  <c r="B1146" i="5"/>
  <c r="B1145" i="5"/>
  <c r="B1144" i="5"/>
  <c r="B1143" i="5"/>
  <c r="B1142" i="5"/>
  <c r="B1141" i="5"/>
  <c r="B1140" i="5"/>
  <c r="B1139" i="5"/>
  <c r="B1138" i="5"/>
  <c r="B1137" i="5"/>
  <c r="B1136" i="5"/>
  <c r="B1135" i="5"/>
  <c r="B1134" i="5"/>
  <c r="B1133" i="5"/>
  <c r="B1132" i="5"/>
  <c r="B1131" i="5"/>
  <c r="B1130" i="5"/>
  <c r="B1129" i="5"/>
  <c r="B1128" i="5"/>
  <c r="B1127" i="5"/>
  <c r="B1126" i="5"/>
  <c r="B1125" i="5"/>
  <c r="B1124" i="5"/>
  <c r="B1123" i="5"/>
  <c r="B1122" i="5"/>
  <c r="B1121" i="5"/>
  <c r="B1120" i="5"/>
  <c r="B1119" i="5"/>
  <c r="B1118" i="5"/>
  <c r="B1117" i="5"/>
  <c r="B1116" i="5"/>
  <c r="B1115" i="5"/>
  <c r="B1114" i="5"/>
  <c r="B1113" i="5"/>
  <c r="B1112" i="5"/>
  <c r="B1111" i="5"/>
  <c r="B1110" i="5"/>
  <c r="B1109" i="5"/>
  <c r="B1108" i="5"/>
  <c r="B1107" i="5"/>
  <c r="B1106" i="5"/>
  <c r="B1105" i="5"/>
  <c r="B1104" i="5"/>
  <c r="B1103" i="5"/>
  <c r="B1102" i="5"/>
  <c r="B1101" i="5"/>
  <c r="B1100" i="5"/>
  <c r="J13" i="22"/>
  <c r="I13" i="22"/>
  <c r="J36" i="21"/>
  <c r="I36" i="21"/>
  <c r="B1099" i="5"/>
  <c r="B1098" i="5"/>
  <c r="B1097" i="5"/>
  <c r="B1096" i="5"/>
  <c r="B1095" i="5"/>
  <c r="B1094" i="5"/>
  <c r="B1093" i="5"/>
  <c r="B1092" i="5"/>
  <c r="B1091" i="5"/>
  <c r="B1090" i="5"/>
  <c r="B1089" i="5"/>
  <c r="B1088" i="5"/>
  <c r="B1087" i="5"/>
  <c r="B1086" i="5"/>
  <c r="B1085" i="5"/>
  <c r="B1084" i="5"/>
  <c r="B1083" i="5"/>
  <c r="B1082" i="5"/>
  <c r="B1081" i="5"/>
  <c r="B1080" i="5"/>
  <c r="B1079" i="5"/>
  <c r="B1078" i="5"/>
  <c r="B1077" i="5"/>
  <c r="B1076" i="5"/>
  <c r="B1075" i="5"/>
  <c r="B1074" i="5"/>
  <c r="B1073" i="5"/>
  <c r="B1072" i="5"/>
  <c r="B1071" i="5"/>
  <c r="B1070" i="5"/>
  <c r="B1069" i="5"/>
  <c r="B1068" i="5"/>
  <c r="B1067" i="5"/>
  <c r="B1066" i="5"/>
  <c r="B1065" i="5"/>
  <c r="B1064" i="5"/>
  <c r="B1063" i="5"/>
  <c r="B1062" i="5"/>
  <c r="B1061" i="5"/>
  <c r="B1060" i="5"/>
  <c r="B1059" i="5"/>
  <c r="B1058" i="5"/>
  <c r="B1057" i="5"/>
  <c r="B1056" i="5"/>
  <c r="B1055" i="5"/>
  <c r="B1054" i="5"/>
  <c r="B1053" i="5"/>
  <c r="B1052" i="5"/>
  <c r="B1051" i="5"/>
  <c r="B1050" i="5"/>
  <c r="B1049" i="5"/>
  <c r="B1048" i="5"/>
  <c r="B1047" i="5"/>
  <c r="B1046" i="5"/>
  <c r="B1045" i="5"/>
  <c r="B1044" i="5"/>
  <c r="B1043" i="5"/>
  <c r="B1042" i="5"/>
  <c r="B1041" i="5"/>
  <c r="B1040" i="5"/>
  <c r="B1039" i="5"/>
  <c r="B1038" i="5"/>
  <c r="B1037" i="5"/>
  <c r="B1036" i="5"/>
  <c r="B1035" i="5"/>
  <c r="B1034" i="5"/>
  <c r="B1033" i="5"/>
  <c r="B1032" i="5"/>
  <c r="B1031" i="5"/>
  <c r="B1030" i="5"/>
  <c r="B1029" i="5"/>
  <c r="B1028" i="5"/>
  <c r="B1027" i="5"/>
  <c r="B1026" i="5"/>
  <c r="B1025" i="5"/>
  <c r="B1024" i="5"/>
  <c r="B1023" i="5"/>
  <c r="B1022" i="5"/>
  <c r="J17" i="21"/>
  <c r="I17" i="21"/>
  <c r="J11" i="21"/>
  <c r="I11" i="21"/>
  <c r="J7" i="21"/>
  <c r="I7" i="21"/>
  <c r="J32" i="20"/>
  <c r="I32" i="20"/>
  <c r="B1021" i="5"/>
  <c r="B1020" i="5"/>
  <c r="B1019" i="5"/>
  <c r="B1018" i="5"/>
  <c r="B1017" i="5"/>
  <c r="B1016" i="5"/>
  <c r="B1015" i="5"/>
  <c r="B1014" i="5"/>
  <c r="B1013" i="5"/>
  <c r="B1012" i="5"/>
  <c r="B1011" i="5"/>
  <c r="B1010" i="5"/>
  <c r="B1009" i="5"/>
  <c r="B1008" i="5"/>
  <c r="B1007" i="5"/>
  <c r="B1006" i="5"/>
  <c r="B1005" i="5"/>
  <c r="B1004" i="5"/>
  <c r="B1003" i="5"/>
  <c r="B1002" i="5"/>
  <c r="B1001" i="5"/>
  <c r="B1000" i="5"/>
  <c r="B999" i="5"/>
  <c r="B998" i="5"/>
  <c r="B997" i="5"/>
  <c r="B996" i="5"/>
  <c r="B995" i="5"/>
  <c r="B994" i="5"/>
  <c r="B993" i="5"/>
  <c r="B992" i="5"/>
  <c r="B991" i="5"/>
  <c r="B990" i="5"/>
  <c r="B989" i="5"/>
  <c r="B988" i="5"/>
  <c r="B987" i="5"/>
  <c r="B986" i="5"/>
  <c r="B985" i="5"/>
  <c r="B984" i="5"/>
  <c r="B983" i="5"/>
  <c r="B982" i="5"/>
  <c r="B981" i="5"/>
  <c r="B980" i="5"/>
  <c r="B979" i="5"/>
  <c r="B978" i="5"/>
  <c r="B977" i="5"/>
  <c r="B976" i="5"/>
  <c r="B975" i="5"/>
  <c r="B974" i="5"/>
  <c r="B973" i="5"/>
  <c r="B972" i="5"/>
  <c r="B971" i="5"/>
  <c r="B970" i="5"/>
  <c r="B969" i="5"/>
  <c r="B968" i="5"/>
  <c r="B967" i="5"/>
  <c r="B966" i="5"/>
  <c r="B965" i="5"/>
  <c r="B964" i="5"/>
  <c r="B963" i="5"/>
  <c r="B962" i="5"/>
  <c r="B961" i="5"/>
  <c r="B960" i="5"/>
  <c r="B959" i="5"/>
  <c r="B958" i="5"/>
  <c r="B957" i="5"/>
  <c r="J17" i="20"/>
  <c r="I17" i="20"/>
  <c r="J11" i="20"/>
  <c r="I11" i="20"/>
  <c r="J7" i="20"/>
  <c r="I7" i="20"/>
  <c r="J36" i="19"/>
  <c r="I36" i="19"/>
  <c r="B956" i="5"/>
  <c r="B955" i="5"/>
  <c r="B954" i="5"/>
  <c r="B953" i="5"/>
  <c r="B952" i="5"/>
  <c r="B951" i="5"/>
  <c r="B950" i="5"/>
  <c r="B949" i="5"/>
  <c r="B948" i="5"/>
  <c r="B947" i="5"/>
  <c r="B946" i="5"/>
  <c r="B945" i="5"/>
  <c r="B944" i="5"/>
  <c r="B943" i="5"/>
  <c r="B942" i="5"/>
  <c r="B941" i="5"/>
  <c r="B940" i="5"/>
  <c r="B939" i="5"/>
  <c r="B938" i="5"/>
  <c r="B937" i="5"/>
  <c r="B936" i="5"/>
  <c r="B935" i="5"/>
  <c r="B934" i="5"/>
  <c r="B933" i="5"/>
  <c r="B932" i="5"/>
  <c r="B931" i="5"/>
  <c r="B930" i="5"/>
  <c r="B929" i="5"/>
  <c r="B928" i="5"/>
  <c r="B927" i="5"/>
  <c r="B926" i="5"/>
  <c r="B925" i="5"/>
  <c r="B924" i="5"/>
  <c r="B923" i="5"/>
  <c r="B922" i="5"/>
  <c r="B921" i="5"/>
  <c r="B920" i="5"/>
  <c r="B919" i="5"/>
  <c r="B918" i="5"/>
  <c r="B917" i="5"/>
  <c r="B916" i="5"/>
  <c r="B915" i="5"/>
  <c r="B914" i="5"/>
  <c r="B913" i="5"/>
  <c r="B912" i="5"/>
  <c r="B911" i="5"/>
  <c r="B910" i="5"/>
  <c r="B909" i="5"/>
  <c r="B908" i="5"/>
  <c r="B907" i="5"/>
  <c r="B906" i="5"/>
  <c r="B905" i="5"/>
  <c r="B904" i="5"/>
  <c r="B903" i="5"/>
  <c r="B902" i="5"/>
  <c r="B901" i="5"/>
  <c r="B900" i="5"/>
  <c r="B899" i="5"/>
  <c r="B898" i="5"/>
  <c r="B897" i="5"/>
  <c r="B896" i="5"/>
  <c r="B895" i="5"/>
  <c r="B894" i="5"/>
  <c r="B893" i="5"/>
  <c r="B892" i="5"/>
  <c r="B891" i="5"/>
  <c r="B890" i="5"/>
  <c r="B889" i="5"/>
  <c r="B888" i="5"/>
  <c r="B887" i="5"/>
  <c r="B886" i="5"/>
  <c r="B885" i="5"/>
  <c r="B884" i="5"/>
  <c r="B883" i="5"/>
  <c r="B882" i="5"/>
  <c r="B881" i="5"/>
  <c r="B880" i="5"/>
  <c r="B879" i="5"/>
  <c r="J17" i="19"/>
  <c r="I17" i="19"/>
  <c r="J11" i="19"/>
  <c r="I11" i="19"/>
  <c r="J7" i="19"/>
  <c r="I7" i="19"/>
  <c r="J20" i="18"/>
  <c r="I20" i="18"/>
  <c r="B878" i="5"/>
  <c r="B877" i="5"/>
  <c r="B876" i="5"/>
  <c r="B875" i="5"/>
  <c r="B874" i="5"/>
  <c r="B873" i="5"/>
  <c r="J13" i="18"/>
  <c r="I13" i="18"/>
  <c r="J20" i="17"/>
  <c r="I20" i="17"/>
  <c r="B872" i="5"/>
  <c r="B871" i="5"/>
  <c r="B870" i="5"/>
  <c r="B869" i="5"/>
  <c r="B868" i="5"/>
  <c r="B867" i="5"/>
  <c r="J13" i="17"/>
  <c r="I13" i="17"/>
  <c r="J24" i="16"/>
  <c r="I24" i="16"/>
  <c r="B866" i="5"/>
  <c r="B865" i="5"/>
  <c r="B864" i="5"/>
  <c r="B863" i="5"/>
  <c r="B862" i="5"/>
  <c r="B861" i="5"/>
  <c r="B860" i="5"/>
  <c r="B859" i="5"/>
  <c r="B858" i="5"/>
  <c r="B857" i="5"/>
  <c r="J13" i="16"/>
  <c r="I13" i="16"/>
  <c r="J20" i="15"/>
  <c r="I20" i="15"/>
  <c r="B856" i="5"/>
  <c r="B855" i="5"/>
  <c r="B854" i="5"/>
  <c r="B853" i="5"/>
  <c r="J13" i="15"/>
  <c r="I13" i="15"/>
  <c r="J20" i="14"/>
  <c r="I20" i="14"/>
  <c r="B852" i="5"/>
  <c r="B851" i="5"/>
  <c r="B850" i="5"/>
  <c r="B849" i="5"/>
  <c r="J13" i="14"/>
  <c r="I13" i="14"/>
  <c r="J20" i="13"/>
  <c r="I20" i="13"/>
  <c r="B848" i="5"/>
  <c r="B847" i="5"/>
  <c r="B846" i="5"/>
  <c r="B845" i="5"/>
  <c r="J13" i="13"/>
  <c r="I13" i="13"/>
  <c r="J28" i="12"/>
  <c r="I28" i="12"/>
  <c r="B844" i="5"/>
  <c r="B843" i="5"/>
  <c r="B842" i="5"/>
  <c r="B841" i="5"/>
  <c r="B840" i="5"/>
  <c r="B839" i="5"/>
  <c r="B838" i="5"/>
  <c r="B837" i="5"/>
  <c r="B836" i="5"/>
  <c r="B835" i="5"/>
  <c r="B834" i="5"/>
  <c r="B833" i="5"/>
  <c r="B832" i="5"/>
  <c r="B831" i="5"/>
  <c r="B830" i="5"/>
  <c r="B829" i="5"/>
  <c r="B828" i="5"/>
  <c r="B827" i="5"/>
  <c r="B826" i="5"/>
  <c r="B825" i="5"/>
  <c r="B824" i="5"/>
  <c r="B823" i="5"/>
  <c r="B822" i="5"/>
  <c r="B821" i="5"/>
  <c r="B820" i="5"/>
  <c r="B819" i="5"/>
  <c r="B818" i="5"/>
  <c r="B817" i="5"/>
  <c r="J13" i="12"/>
  <c r="I13" i="12"/>
  <c r="J79" i="11"/>
  <c r="I79" i="11"/>
  <c r="B816" i="5"/>
  <c r="B815" i="5"/>
  <c r="B814" i="5"/>
  <c r="B813" i="5"/>
  <c r="B812" i="5"/>
  <c r="B811" i="5"/>
  <c r="B810" i="5"/>
  <c r="B809" i="5"/>
  <c r="B808" i="5"/>
  <c r="B807" i="5"/>
  <c r="B806" i="5"/>
  <c r="B805" i="5"/>
  <c r="B804" i="5"/>
  <c r="B803" i="5"/>
  <c r="B802" i="5"/>
  <c r="B801" i="5"/>
  <c r="B800" i="5"/>
  <c r="B799" i="5"/>
  <c r="B798" i="5"/>
  <c r="B797" i="5"/>
  <c r="B796" i="5"/>
  <c r="B795" i="5"/>
  <c r="B794" i="5"/>
  <c r="B793" i="5"/>
  <c r="B792" i="5"/>
  <c r="B791" i="5"/>
  <c r="B790" i="5"/>
  <c r="B789" i="5"/>
  <c r="B788" i="5"/>
  <c r="B787" i="5"/>
  <c r="B786" i="5"/>
  <c r="B785" i="5"/>
  <c r="B784" i="5"/>
  <c r="B783" i="5"/>
  <c r="B782" i="5"/>
  <c r="B781" i="5"/>
  <c r="B780" i="5"/>
  <c r="B779" i="5"/>
  <c r="B778" i="5"/>
  <c r="B777" i="5"/>
  <c r="B776" i="5"/>
  <c r="B775" i="5"/>
  <c r="B774" i="5"/>
  <c r="B773" i="5"/>
  <c r="B772" i="5"/>
  <c r="B771" i="5"/>
  <c r="B770" i="5"/>
  <c r="B769" i="5"/>
  <c r="B768" i="5"/>
  <c r="B767" i="5"/>
  <c r="B766" i="5"/>
  <c r="B765" i="5"/>
  <c r="B764" i="5"/>
  <c r="B763" i="5"/>
  <c r="B762" i="5"/>
  <c r="B761" i="5"/>
  <c r="B760" i="5"/>
  <c r="B759" i="5"/>
  <c r="B758" i="5"/>
  <c r="B757" i="5"/>
  <c r="B756" i="5"/>
  <c r="B755" i="5"/>
  <c r="B754" i="5"/>
  <c r="B753" i="5"/>
  <c r="B752" i="5"/>
  <c r="B751" i="5"/>
  <c r="B750" i="5"/>
  <c r="B749" i="5"/>
  <c r="B748" i="5"/>
  <c r="B747" i="5"/>
  <c r="B746" i="5"/>
  <c r="B745" i="5"/>
  <c r="B744" i="5"/>
  <c r="B743" i="5"/>
  <c r="B742" i="5"/>
  <c r="B741" i="5"/>
  <c r="B740" i="5"/>
  <c r="B739" i="5"/>
  <c r="B738" i="5"/>
  <c r="B737" i="5"/>
  <c r="B736" i="5"/>
  <c r="B735" i="5"/>
  <c r="B734" i="5"/>
  <c r="B733" i="5"/>
  <c r="B732" i="5"/>
  <c r="B731" i="5"/>
  <c r="B730" i="5"/>
  <c r="B729" i="5"/>
  <c r="B728" i="5"/>
  <c r="B727" i="5"/>
  <c r="B726" i="5"/>
  <c r="B725" i="5"/>
  <c r="B724" i="5"/>
  <c r="B723" i="5"/>
  <c r="B722" i="5"/>
  <c r="B721" i="5"/>
  <c r="B720" i="5"/>
  <c r="B719" i="5"/>
  <c r="B718" i="5"/>
  <c r="B717" i="5"/>
  <c r="B716" i="5"/>
  <c r="B715" i="5"/>
  <c r="B714" i="5"/>
  <c r="B713" i="5"/>
  <c r="B712" i="5"/>
  <c r="B711" i="5"/>
  <c r="B710" i="5"/>
  <c r="B709" i="5"/>
  <c r="B708" i="5"/>
  <c r="B707" i="5"/>
  <c r="B706" i="5"/>
  <c r="B705" i="5"/>
  <c r="B704" i="5"/>
  <c r="B703" i="5"/>
  <c r="B702" i="5"/>
  <c r="B701" i="5"/>
  <c r="B700" i="5"/>
  <c r="B699" i="5"/>
  <c r="B698" i="5"/>
  <c r="B697" i="5"/>
  <c r="B696" i="5"/>
  <c r="B695" i="5"/>
  <c r="B694" i="5"/>
  <c r="B693" i="5"/>
  <c r="B692" i="5"/>
  <c r="B691" i="5"/>
  <c r="B690" i="5"/>
  <c r="B689" i="5"/>
  <c r="B688" i="5"/>
  <c r="B687" i="5"/>
  <c r="B686" i="5"/>
  <c r="B685" i="5"/>
  <c r="B684" i="5"/>
  <c r="B683" i="5"/>
  <c r="B682" i="5"/>
  <c r="B681" i="5"/>
  <c r="B680" i="5"/>
  <c r="B679" i="5"/>
  <c r="B678" i="5"/>
  <c r="B677" i="5"/>
  <c r="B676" i="5"/>
  <c r="B675" i="5"/>
  <c r="B674" i="5"/>
  <c r="B673" i="5"/>
  <c r="B672" i="5"/>
  <c r="B671" i="5"/>
  <c r="B670" i="5"/>
  <c r="B669" i="5"/>
  <c r="B668" i="5"/>
  <c r="B667" i="5"/>
  <c r="B666" i="5"/>
  <c r="B665" i="5"/>
  <c r="B664" i="5"/>
  <c r="B663" i="5"/>
  <c r="B662" i="5"/>
  <c r="B661" i="5"/>
  <c r="B660" i="5"/>
  <c r="B659" i="5"/>
  <c r="B658" i="5"/>
  <c r="B657" i="5"/>
  <c r="B656" i="5"/>
  <c r="B655" i="5"/>
  <c r="B654" i="5"/>
  <c r="B653" i="5"/>
  <c r="B652" i="5"/>
  <c r="B651" i="5"/>
  <c r="B650" i="5"/>
  <c r="B649" i="5"/>
  <c r="B648" i="5"/>
  <c r="B647" i="5"/>
  <c r="B646" i="5"/>
  <c r="B645" i="5"/>
  <c r="B644" i="5"/>
  <c r="B643" i="5"/>
  <c r="B642" i="5"/>
  <c r="B641" i="5"/>
  <c r="B640" i="5"/>
  <c r="B639" i="5"/>
  <c r="B638" i="5"/>
  <c r="B637" i="5"/>
  <c r="B636" i="5"/>
  <c r="B635" i="5"/>
  <c r="B634" i="5"/>
  <c r="B633" i="5"/>
  <c r="B632" i="5"/>
  <c r="B631" i="5"/>
  <c r="B630" i="5"/>
  <c r="B629" i="5"/>
  <c r="B628" i="5"/>
  <c r="B627" i="5"/>
  <c r="B626" i="5"/>
  <c r="B625" i="5"/>
  <c r="B624" i="5"/>
  <c r="B623" i="5"/>
  <c r="B622" i="5"/>
  <c r="B621" i="5"/>
  <c r="B620" i="5"/>
  <c r="B619" i="5"/>
  <c r="B618" i="5"/>
  <c r="B617" i="5"/>
  <c r="B616" i="5"/>
  <c r="B615" i="5"/>
  <c r="B614" i="5"/>
  <c r="B613" i="5"/>
  <c r="B612" i="5"/>
  <c r="B611" i="5"/>
  <c r="B610" i="5"/>
  <c r="B609" i="5"/>
  <c r="B608" i="5"/>
  <c r="J13" i="11"/>
  <c r="I13" i="11"/>
  <c r="J24" i="10"/>
  <c r="I24" i="10"/>
  <c r="B607" i="5"/>
  <c r="B606" i="5"/>
  <c r="B605" i="5"/>
  <c r="B604" i="5"/>
  <c r="B603" i="5"/>
  <c r="B602" i="5"/>
  <c r="B601" i="5"/>
  <c r="B600" i="5"/>
  <c r="B599" i="5"/>
  <c r="B598" i="5"/>
  <c r="B597" i="5"/>
  <c r="B596" i="5"/>
  <c r="B595" i="5"/>
  <c r="J13" i="10"/>
  <c r="I13" i="10"/>
  <c r="J63" i="9"/>
  <c r="I63" i="9"/>
  <c r="B594" i="5"/>
  <c r="B593" i="5"/>
  <c r="B592" i="5"/>
  <c r="B591" i="5"/>
  <c r="B590" i="5"/>
  <c r="B589" i="5"/>
  <c r="B588" i="5"/>
  <c r="B587" i="5"/>
  <c r="B586" i="5"/>
  <c r="B585" i="5"/>
  <c r="B584" i="5"/>
  <c r="B583" i="5"/>
  <c r="B582" i="5"/>
  <c r="B581" i="5"/>
  <c r="B580" i="5"/>
  <c r="B579" i="5"/>
  <c r="B578" i="5"/>
  <c r="B577" i="5"/>
  <c r="B576" i="5"/>
  <c r="B575" i="5"/>
  <c r="B574" i="5"/>
  <c r="B573" i="5"/>
  <c r="B572" i="5"/>
  <c r="B571" i="5"/>
  <c r="B570" i="5"/>
  <c r="B569" i="5"/>
  <c r="B568" i="5"/>
  <c r="B567" i="5"/>
  <c r="B566" i="5"/>
  <c r="B565" i="5"/>
  <c r="B564" i="5"/>
  <c r="B563" i="5"/>
  <c r="B562" i="5"/>
  <c r="B561" i="5"/>
  <c r="B560" i="5"/>
  <c r="B559" i="5"/>
  <c r="B558" i="5"/>
  <c r="B557" i="5"/>
  <c r="B556" i="5"/>
  <c r="B555" i="5"/>
  <c r="B554" i="5"/>
  <c r="B553" i="5"/>
  <c r="B552" i="5"/>
  <c r="B551" i="5"/>
  <c r="B550" i="5"/>
  <c r="B549" i="5"/>
  <c r="B548" i="5"/>
  <c r="B547" i="5"/>
  <c r="B546" i="5"/>
  <c r="B545" i="5"/>
  <c r="B544" i="5"/>
  <c r="B543" i="5"/>
  <c r="B542" i="5"/>
  <c r="B541" i="5"/>
  <c r="B540" i="5"/>
  <c r="B539" i="5"/>
  <c r="B538" i="5"/>
  <c r="B537" i="5"/>
  <c r="B536" i="5"/>
  <c r="B535" i="5"/>
  <c r="B534" i="5"/>
  <c r="B533" i="5"/>
  <c r="B532" i="5"/>
  <c r="B531" i="5"/>
  <c r="B530" i="5"/>
  <c r="B529" i="5"/>
  <c r="B528" i="5"/>
  <c r="B527" i="5"/>
  <c r="B526" i="5"/>
  <c r="B525" i="5"/>
  <c r="B524" i="5"/>
  <c r="B523" i="5"/>
  <c r="B522" i="5"/>
  <c r="B521" i="5"/>
  <c r="B520" i="5"/>
  <c r="B519" i="5"/>
  <c r="B518" i="5"/>
  <c r="B517" i="5"/>
  <c r="B516" i="5"/>
  <c r="B515" i="5"/>
  <c r="B514" i="5"/>
  <c r="B513" i="5"/>
  <c r="B512" i="5"/>
  <c r="B511" i="5"/>
  <c r="B510" i="5"/>
  <c r="B509" i="5"/>
  <c r="B508" i="5"/>
  <c r="B507" i="5"/>
  <c r="B506" i="5"/>
  <c r="B505" i="5"/>
  <c r="B504" i="5"/>
  <c r="B503" i="5"/>
  <c r="B502" i="5"/>
  <c r="B501" i="5"/>
  <c r="B500" i="5"/>
  <c r="B499" i="5"/>
  <c r="B498" i="5"/>
  <c r="B497" i="5"/>
  <c r="B496" i="5"/>
  <c r="B495" i="5"/>
  <c r="B494" i="5"/>
  <c r="B493" i="5"/>
  <c r="B492" i="5"/>
  <c r="B491" i="5"/>
  <c r="B490" i="5"/>
  <c r="B489" i="5"/>
  <c r="B488" i="5"/>
  <c r="B487" i="5"/>
  <c r="B486" i="5"/>
  <c r="B485" i="5"/>
  <c r="B484" i="5"/>
  <c r="B483" i="5"/>
  <c r="B482" i="5"/>
  <c r="B481" i="5"/>
  <c r="B480" i="5"/>
  <c r="B479" i="5"/>
  <c r="B478" i="5"/>
  <c r="B477" i="5"/>
  <c r="B476" i="5"/>
  <c r="B475" i="5"/>
  <c r="B474" i="5"/>
  <c r="B473" i="5"/>
  <c r="B472" i="5"/>
  <c r="B471" i="5"/>
  <c r="B470" i="5"/>
  <c r="B469" i="5"/>
  <c r="B468" i="5"/>
  <c r="B467" i="5"/>
  <c r="B466" i="5"/>
  <c r="B465" i="5"/>
  <c r="B464" i="5"/>
  <c r="B463" i="5"/>
  <c r="B462" i="5"/>
  <c r="B461" i="5"/>
  <c r="B460" i="5"/>
  <c r="B459" i="5"/>
  <c r="B458" i="5"/>
  <c r="J13" i="9"/>
  <c r="I13" i="9"/>
  <c r="J28" i="8"/>
  <c r="I28" i="8"/>
  <c r="B457" i="5"/>
  <c r="B456" i="5"/>
  <c r="B455" i="5"/>
  <c r="B454" i="5"/>
  <c r="B453" i="5"/>
  <c r="B452" i="5"/>
  <c r="B451" i="5"/>
  <c r="B450" i="5"/>
  <c r="B449" i="5"/>
  <c r="B448" i="5"/>
  <c r="B447" i="5"/>
  <c r="B446" i="5"/>
  <c r="B445" i="5"/>
  <c r="B444" i="5"/>
  <c r="B443" i="5"/>
  <c r="B442" i="5"/>
  <c r="B441" i="5"/>
  <c r="B440" i="5"/>
  <c r="B439" i="5"/>
  <c r="B438" i="5"/>
  <c r="B437" i="5"/>
  <c r="B436" i="5"/>
  <c r="B435" i="5"/>
  <c r="B434" i="5"/>
  <c r="B433" i="5"/>
  <c r="B432" i="5"/>
  <c r="J13" i="8"/>
  <c r="I13" i="8"/>
  <c r="J87" i="7"/>
  <c r="I87" i="7"/>
  <c r="B431" i="5"/>
  <c r="B430" i="5"/>
  <c r="B429" i="5"/>
  <c r="B428" i="5"/>
  <c r="B427" i="5"/>
  <c r="B426" i="5"/>
  <c r="B425" i="5"/>
  <c r="B424" i="5"/>
  <c r="B423" i="5"/>
  <c r="B422" i="5"/>
  <c r="B421" i="5"/>
  <c r="B420" i="5"/>
  <c r="B419" i="5"/>
  <c r="B418" i="5"/>
  <c r="B417" i="5"/>
  <c r="B416"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J13" i="7"/>
  <c r="I13" i="7"/>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F46" i="2"/>
  <c r="E46" i="2"/>
  <c r="F44" i="2"/>
  <c r="E44" i="2"/>
  <c r="F40" i="2"/>
  <c r="F33" i="2"/>
  <c r="F31" i="2"/>
  <c r="E27" i="2"/>
  <c r="F22" i="2"/>
  <c r="E22" i="2"/>
  <c r="B106" i="5" s="1"/>
  <c r="M13" i="111" s="1"/>
  <c r="F20" i="2"/>
  <c r="F18" i="2"/>
  <c r="E18" i="2"/>
  <c r="F14" i="2"/>
  <c r="E14" i="2"/>
  <c r="F12" i="2"/>
  <c r="E12" i="2"/>
  <c r="F10" i="2"/>
  <c r="E10" i="2"/>
  <c r="B96" i="5" l="1"/>
  <c r="N12" i="101" s="1"/>
  <c r="B195" i="5"/>
  <c r="B193" i="5"/>
  <c r="B196" i="5"/>
  <c r="B191" i="5"/>
  <c r="B192" i="5"/>
  <c r="B194" i="5"/>
  <c r="B95" i="5"/>
  <c r="B80" i="5"/>
  <c r="B171" i="5"/>
  <c r="B177" i="5"/>
  <c r="B103" i="5"/>
  <c r="B6" i="5"/>
  <c r="B10" i="5"/>
  <c r="B133" i="5"/>
  <c r="B125" i="5"/>
  <c r="B46" i="5"/>
  <c r="B58" i="5"/>
  <c r="B81" i="5"/>
  <c r="B85" i="5"/>
  <c r="B87" i="5"/>
  <c r="B162" i="5"/>
  <c r="B168" i="5"/>
  <c r="B188" i="5"/>
  <c r="B88" i="5"/>
  <c r="B197" i="5"/>
  <c r="B25" i="5"/>
  <c r="B69" i="5"/>
  <c r="B136" i="5"/>
  <c r="B142" i="5"/>
  <c r="B117" i="5"/>
  <c r="B123" i="5"/>
  <c r="B129" i="5"/>
  <c r="B175" i="5"/>
  <c r="B41" i="5"/>
  <c r="B116" i="5"/>
  <c r="B139" i="5"/>
  <c r="B145" i="5"/>
  <c r="B72" i="5"/>
  <c r="B152" i="5"/>
  <c r="B16" i="5"/>
  <c r="B181" i="5"/>
  <c r="B102" i="5"/>
  <c r="B24" i="5"/>
  <c r="B36" i="5"/>
  <c r="B68" i="5"/>
  <c r="B73" i="5"/>
  <c r="B75" i="5"/>
  <c r="B91" i="5"/>
  <c r="B127" i="5"/>
  <c r="B150" i="5"/>
  <c r="B156" i="5"/>
  <c r="B19" i="5"/>
  <c r="B57" i="5"/>
  <c r="B63" i="5"/>
  <c r="B27" i="5"/>
  <c r="B52" i="5"/>
  <c r="B134" i="5"/>
  <c r="B12" i="5"/>
  <c r="B120" i="5"/>
  <c r="B98" i="5"/>
  <c r="B143" i="5"/>
  <c r="B158" i="5"/>
  <c r="B50" i="5"/>
  <c r="B40" i="5"/>
  <c r="B77" i="5"/>
  <c r="B99" i="5"/>
  <c r="B101" i="5"/>
  <c r="B141" i="5"/>
  <c r="B166" i="5"/>
  <c r="B170" i="5"/>
  <c r="B190" i="5"/>
  <c r="B35" i="5"/>
  <c r="B55" i="5"/>
  <c r="B60" i="5"/>
  <c r="B104" i="5"/>
  <c r="B160" i="5"/>
  <c r="B108" i="5"/>
  <c r="B174" i="5"/>
  <c r="B124" i="5"/>
  <c r="B94" i="5"/>
  <c r="B110" i="5"/>
  <c r="B128" i="5"/>
  <c r="B178" i="5"/>
  <c r="B28" i="5"/>
  <c r="B9" i="5"/>
  <c r="B186" i="5"/>
  <c r="B185" i="5"/>
  <c r="B131" i="5"/>
  <c r="B146" i="5"/>
  <c r="B107" i="5"/>
  <c r="B179" i="5"/>
  <c r="B17" i="5"/>
  <c r="B64" i="5"/>
  <c r="B89" i="5"/>
  <c r="B115" i="5"/>
  <c r="B138" i="5"/>
  <c r="B144" i="5"/>
  <c r="B163" i="5"/>
  <c r="B169" i="5"/>
  <c r="B23" i="5"/>
  <c r="B65" i="5"/>
  <c r="B154" i="5"/>
  <c r="B118" i="5"/>
  <c r="B130" i="5"/>
  <c r="B51" i="5"/>
  <c r="B39" i="5"/>
  <c r="B43" i="5"/>
  <c r="B113" i="5"/>
  <c r="B148" i="5"/>
  <c r="B76" i="5"/>
  <c r="B132" i="5"/>
  <c r="B84" i="5"/>
  <c r="B155" i="5"/>
  <c r="B44" i="5"/>
  <c r="B109" i="5"/>
  <c r="B182" i="5"/>
  <c r="B21" i="5"/>
  <c r="B18" i="5"/>
  <c r="B92" i="5"/>
  <c r="B114" i="5"/>
  <c r="B135" i="5"/>
  <c r="B153" i="5"/>
  <c r="B71" i="5"/>
  <c r="B2" i="5"/>
  <c r="B3" i="5"/>
  <c r="B26" i="5"/>
  <c r="B67" i="5"/>
  <c r="B78" i="5"/>
  <c r="B173" i="5"/>
  <c r="B176" i="5"/>
  <c r="B61" i="5"/>
  <c r="B48" i="5"/>
  <c r="B15" i="5"/>
  <c r="B119" i="5"/>
  <c r="B140" i="5"/>
  <c r="B32" i="5"/>
  <c r="B45" i="5"/>
  <c r="B112" i="5"/>
  <c r="B38" i="5"/>
  <c r="B42" i="5"/>
  <c r="B49" i="5"/>
  <c r="B79" i="5"/>
  <c r="B82" i="5"/>
  <c r="B86" i="5"/>
  <c r="B165" i="5"/>
  <c r="B47" i="5"/>
  <c r="N102" i="111"/>
  <c r="M102" i="111"/>
  <c r="N87" i="111"/>
  <c r="M87" i="111"/>
  <c r="N77" i="111"/>
  <c r="M77" i="111"/>
  <c r="N13" i="111"/>
  <c r="B122" i="5"/>
  <c r="B4" i="5"/>
  <c r="B53" i="5"/>
  <c r="B8" i="5"/>
  <c r="B13" i="5"/>
  <c r="B14" i="5"/>
  <c r="B31" i="5"/>
  <c r="B137" i="5"/>
  <c r="B149" i="5"/>
  <c r="B161" i="5"/>
  <c r="B180" i="5"/>
  <c r="B54" i="5"/>
  <c r="B34" i="5"/>
  <c r="B37" i="5"/>
  <c r="B66" i="5"/>
  <c r="B70" i="5"/>
  <c r="B74" i="5"/>
  <c r="B90" i="5"/>
  <c r="B121" i="5"/>
  <c r="B147" i="5"/>
  <c r="B164" i="5"/>
  <c r="B189" i="5"/>
  <c r="B59" i="5"/>
  <c r="B151" i="5"/>
  <c r="B157" i="5"/>
  <c r="B183" i="5"/>
  <c r="B5" i="5"/>
  <c r="B29" i="5"/>
  <c r="B7" i="5"/>
  <c r="B22" i="5"/>
  <c r="B105" i="5"/>
  <c r="B11" i="5"/>
  <c r="B184" i="5"/>
  <c r="B187" i="5"/>
  <c r="B30" i="5"/>
  <c r="B126" i="5"/>
  <c r="B97" i="5"/>
  <c r="B33" i="5"/>
  <c r="B93" i="5"/>
  <c r="B100" i="5"/>
  <c r="B111" i="5"/>
  <c r="B167" i="5"/>
  <c r="B172" i="5"/>
  <c r="B56" i="5"/>
  <c r="B62" i="5"/>
  <c r="B83" i="5"/>
  <c r="B159" i="5"/>
  <c r="B20" i="5"/>
  <c r="M19" i="101" l="1"/>
  <c r="N19" i="101"/>
  <c r="M12" i="101"/>
  <c r="N27" i="131"/>
  <c r="N11" i="131"/>
  <c r="N23" i="131"/>
  <c r="N7" i="131"/>
  <c r="N45" i="131"/>
  <c r="O16" i="131"/>
  <c r="O45" i="131"/>
  <c r="N16" i="131"/>
  <c r="O33" i="131"/>
  <c r="O11" i="131"/>
  <c r="N33" i="131"/>
  <c r="O7" i="131"/>
  <c r="O27" i="131"/>
  <c r="O19" i="131"/>
  <c r="O23" i="131"/>
  <c r="N19" i="131"/>
  <c r="L111" i="37"/>
  <c r="K111" i="37"/>
  <c r="L15" i="37"/>
  <c r="K15" i="37"/>
  <c r="L49" i="135"/>
  <c r="L25" i="135"/>
  <c r="M15" i="135"/>
  <c r="L15" i="135"/>
  <c r="M12" i="135"/>
  <c r="L12" i="135"/>
  <c r="M49" i="135"/>
  <c r="M25" i="135"/>
  <c r="J106" i="40"/>
  <c r="K15" i="40"/>
  <c r="J15" i="40"/>
  <c r="K106" i="40"/>
  <c r="AA74" i="51"/>
  <c r="AB14" i="51"/>
  <c r="AA14" i="51"/>
  <c r="AB128" i="51"/>
  <c r="AA128" i="51"/>
  <c r="AB85" i="51"/>
  <c r="AA85" i="51"/>
  <c r="AB74" i="51"/>
  <c r="O28" i="42"/>
  <c r="P25" i="42"/>
  <c r="O25" i="42"/>
  <c r="P40" i="42"/>
  <c r="P16" i="42"/>
  <c r="O40" i="42"/>
  <c r="O16" i="42"/>
  <c r="P37" i="42"/>
  <c r="P12" i="42"/>
  <c r="O37" i="42"/>
  <c r="O12" i="42"/>
  <c r="P28" i="42"/>
  <c r="M40" i="97"/>
  <c r="M7" i="97"/>
  <c r="N40" i="97"/>
  <c r="N15" i="97"/>
  <c r="M15" i="97"/>
  <c r="N10" i="97"/>
  <c r="M10" i="97"/>
  <c r="N7" i="97"/>
  <c r="K61" i="123"/>
  <c r="J61" i="123"/>
  <c r="K34" i="123"/>
  <c r="J34" i="123"/>
  <c r="K76" i="123"/>
  <c r="K23" i="123"/>
  <c r="K70" i="123"/>
  <c r="K12" i="123"/>
  <c r="J76" i="123"/>
  <c r="J70" i="123"/>
  <c r="J23" i="123"/>
  <c r="J12" i="123"/>
  <c r="L101" i="120"/>
  <c r="L81" i="120"/>
  <c r="L65" i="120"/>
  <c r="L33" i="120"/>
  <c r="L10" i="120"/>
  <c r="K101" i="120"/>
  <c r="K81" i="120"/>
  <c r="K65" i="120"/>
  <c r="K33" i="120"/>
  <c r="K10" i="120"/>
  <c r="L98" i="120"/>
  <c r="L78" i="120"/>
  <c r="L62" i="120"/>
  <c r="L30" i="120"/>
  <c r="L7" i="120"/>
  <c r="K98" i="120"/>
  <c r="K78" i="120"/>
  <c r="K62" i="120"/>
  <c r="K30" i="120"/>
  <c r="K7" i="120"/>
  <c r="L116" i="120"/>
  <c r="L94" i="120"/>
  <c r="L74" i="120"/>
  <c r="L58" i="120"/>
  <c r="L26" i="120"/>
  <c r="L107" i="120"/>
  <c r="L87" i="120"/>
  <c r="L70" i="120"/>
  <c r="L39" i="120"/>
  <c r="L15" i="120"/>
  <c r="K116" i="120"/>
  <c r="K26" i="120"/>
  <c r="K107" i="120"/>
  <c r="K15" i="120"/>
  <c r="K94" i="120"/>
  <c r="K87" i="120"/>
  <c r="K74" i="120"/>
  <c r="K70" i="120"/>
  <c r="K58" i="120"/>
  <c r="K39" i="120"/>
  <c r="J12" i="190"/>
  <c r="I12" i="190"/>
  <c r="I16" i="190"/>
  <c r="J16" i="190"/>
  <c r="O15" i="129"/>
  <c r="O12" i="129"/>
  <c r="P53" i="129"/>
  <c r="O53" i="129"/>
  <c r="P25" i="129"/>
  <c r="P15" i="129"/>
  <c r="O25" i="129"/>
  <c r="P12" i="129"/>
  <c r="M27" i="195"/>
  <c r="L27" i="195"/>
  <c r="M18" i="195"/>
  <c r="L18" i="195"/>
  <c r="M31" i="195"/>
  <c r="L31" i="195"/>
  <c r="M12" i="195"/>
  <c r="L12" i="195"/>
  <c r="O37" i="55"/>
  <c r="N37" i="55"/>
  <c r="O13" i="55"/>
  <c r="N13" i="55"/>
  <c r="T48" i="80"/>
  <c r="T24" i="80"/>
  <c r="U39" i="80"/>
  <c r="U15" i="80"/>
  <c r="T39" i="80"/>
  <c r="T15" i="80"/>
  <c r="U36" i="80"/>
  <c r="U12" i="80"/>
  <c r="U51" i="80"/>
  <c r="U27" i="80"/>
  <c r="T51" i="80"/>
  <c r="T27" i="80"/>
  <c r="T12" i="80"/>
  <c r="U48" i="80"/>
  <c r="T36" i="80"/>
  <c r="U24" i="80"/>
  <c r="J7" i="157"/>
  <c r="I7" i="157"/>
  <c r="J40" i="157"/>
  <c r="I40" i="157"/>
  <c r="J18" i="157"/>
  <c r="I18" i="157"/>
  <c r="J12" i="157"/>
  <c r="I12" i="157"/>
  <c r="O55" i="128"/>
  <c r="O15" i="128"/>
  <c r="O51" i="128"/>
  <c r="O12" i="128"/>
  <c r="P74" i="128"/>
  <c r="P25" i="128"/>
  <c r="O74" i="128"/>
  <c r="O25" i="128"/>
  <c r="P65" i="128"/>
  <c r="P15" i="128"/>
  <c r="O65" i="128"/>
  <c r="P12" i="128"/>
  <c r="P55" i="128"/>
  <c r="P42" i="128"/>
  <c r="P51" i="128"/>
  <c r="O42" i="128"/>
  <c r="P15" i="193"/>
  <c r="O15" i="193"/>
  <c r="P12" i="193"/>
  <c r="O12" i="193"/>
  <c r="N91" i="130"/>
  <c r="N70" i="130"/>
  <c r="N53" i="130"/>
  <c r="N27" i="130"/>
  <c r="N11" i="130"/>
  <c r="N87" i="130"/>
  <c r="N66" i="130"/>
  <c r="N49" i="130"/>
  <c r="N23" i="130"/>
  <c r="N7" i="130"/>
  <c r="O91" i="130"/>
  <c r="O62" i="130"/>
  <c r="O33" i="130"/>
  <c r="O11" i="130"/>
  <c r="O87" i="130"/>
  <c r="N62" i="130"/>
  <c r="N33" i="130"/>
  <c r="O7" i="130"/>
  <c r="O83" i="130"/>
  <c r="O58" i="130"/>
  <c r="O27" i="130"/>
  <c r="N83" i="130"/>
  <c r="N58" i="130"/>
  <c r="O23" i="130"/>
  <c r="O106" i="130"/>
  <c r="O76" i="130"/>
  <c r="O53" i="130"/>
  <c r="O19" i="130"/>
  <c r="O97" i="130"/>
  <c r="O70" i="130"/>
  <c r="O45" i="130"/>
  <c r="O16" i="130"/>
  <c r="N106" i="130"/>
  <c r="N97" i="130"/>
  <c r="N76" i="130"/>
  <c r="O66" i="130"/>
  <c r="O49" i="130"/>
  <c r="N45" i="130"/>
  <c r="N19" i="130"/>
  <c r="N16" i="130"/>
  <c r="P12" i="61"/>
  <c r="Q15" i="61"/>
  <c r="P15" i="61"/>
  <c r="Q12" i="61"/>
  <c r="P134" i="119"/>
  <c r="P103" i="119"/>
  <c r="P79" i="119"/>
  <c r="P55" i="119"/>
  <c r="P27" i="119"/>
  <c r="O134" i="119"/>
  <c r="O103" i="119"/>
  <c r="O79" i="119"/>
  <c r="O55" i="119"/>
  <c r="O27" i="119"/>
  <c r="P125" i="119"/>
  <c r="P100" i="119"/>
  <c r="P76" i="119"/>
  <c r="P49" i="119"/>
  <c r="P24" i="119"/>
  <c r="O125" i="119"/>
  <c r="O100" i="119"/>
  <c r="O76" i="119"/>
  <c r="O49" i="119"/>
  <c r="O24" i="119"/>
  <c r="P147" i="119"/>
  <c r="P115" i="119"/>
  <c r="P91" i="119"/>
  <c r="P67" i="119"/>
  <c r="P40" i="119"/>
  <c r="P15" i="119"/>
  <c r="P143" i="119"/>
  <c r="P112" i="119"/>
  <c r="P88" i="119"/>
  <c r="P64" i="119"/>
  <c r="P36" i="119"/>
  <c r="P12" i="119"/>
  <c r="O67" i="119"/>
  <c r="O64" i="119"/>
  <c r="O147" i="119"/>
  <c r="O40" i="119"/>
  <c r="O143" i="119"/>
  <c r="O36" i="119"/>
  <c r="O115" i="119"/>
  <c r="O15" i="119"/>
  <c r="O112" i="119"/>
  <c r="O12" i="119"/>
  <c r="O91" i="119"/>
  <c r="O88" i="119"/>
  <c r="Q15" i="45"/>
  <c r="R12" i="45"/>
  <c r="Q12" i="45"/>
  <c r="R15" i="45"/>
  <c r="J107" i="35"/>
  <c r="K19" i="35"/>
  <c r="J19" i="35"/>
  <c r="K11" i="35"/>
  <c r="J11" i="35"/>
  <c r="K7" i="35"/>
  <c r="J7" i="35"/>
  <c r="K107" i="35"/>
  <c r="AA16" i="87"/>
  <c r="AB81" i="87"/>
  <c r="AA81" i="87"/>
  <c r="AB16" i="87"/>
  <c r="Y54" i="172"/>
  <c r="Y30" i="172"/>
  <c r="Y15" i="172"/>
  <c r="X54" i="172"/>
  <c r="X30" i="172"/>
  <c r="X15" i="172"/>
  <c r="Y45" i="172"/>
  <c r="Y25" i="172"/>
  <c r="Y10" i="172"/>
  <c r="X45" i="172"/>
  <c r="X25" i="172"/>
  <c r="X10" i="172"/>
  <c r="X57" i="172"/>
  <c r="X18" i="172"/>
  <c r="Y42" i="172"/>
  <c r="Y7" i="172"/>
  <c r="X42" i="172"/>
  <c r="X7" i="172"/>
  <c r="Y33" i="172"/>
  <c r="X33" i="172"/>
  <c r="Y22" i="172"/>
  <c r="Y57" i="172"/>
  <c r="X22" i="172"/>
  <c r="Y18" i="172"/>
  <c r="J12" i="192"/>
  <c r="I12" i="192"/>
  <c r="J17" i="192"/>
  <c r="I17" i="192"/>
  <c r="AC12" i="188"/>
  <c r="AB12" i="188"/>
  <c r="AC15" i="188"/>
  <c r="AB15" i="188"/>
  <c r="K119" i="169"/>
  <c r="K89" i="169"/>
  <c r="K50" i="169"/>
  <c r="K12" i="169"/>
  <c r="J119" i="169"/>
  <c r="J89" i="169"/>
  <c r="J50" i="169"/>
  <c r="J12" i="169"/>
  <c r="K110" i="169"/>
  <c r="K80" i="169"/>
  <c r="K41" i="169"/>
  <c r="J110" i="169"/>
  <c r="J80" i="169"/>
  <c r="J41" i="169"/>
  <c r="J93" i="169"/>
  <c r="J27" i="169"/>
  <c r="K75" i="169"/>
  <c r="J75" i="169"/>
  <c r="K124" i="169"/>
  <c r="K66" i="169"/>
  <c r="J124" i="169"/>
  <c r="J66" i="169"/>
  <c r="K102" i="169"/>
  <c r="K36" i="169"/>
  <c r="J102" i="169"/>
  <c r="K93" i="169"/>
  <c r="J36" i="169"/>
  <c r="K27" i="169"/>
  <c r="L106" i="39"/>
  <c r="K106" i="39"/>
  <c r="L15" i="39"/>
  <c r="K15" i="39"/>
  <c r="T12" i="84"/>
  <c r="U15" i="84"/>
  <c r="T15" i="84"/>
  <c r="U12" i="84"/>
  <c r="J115" i="124"/>
  <c r="J91" i="124"/>
  <c r="J69" i="124"/>
  <c r="J51" i="124"/>
  <c r="J28" i="124"/>
  <c r="J106" i="124"/>
  <c r="J84" i="124"/>
  <c r="J65" i="124"/>
  <c r="J43" i="124"/>
  <c r="J17" i="124"/>
  <c r="K100" i="124"/>
  <c r="K73" i="124"/>
  <c r="K51" i="124"/>
  <c r="K12" i="124"/>
  <c r="J100" i="124"/>
  <c r="J73" i="124"/>
  <c r="K43" i="124"/>
  <c r="J12" i="124"/>
  <c r="K95" i="124"/>
  <c r="K69" i="124"/>
  <c r="K37" i="124"/>
  <c r="K7" i="124"/>
  <c r="J95" i="124"/>
  <c r="K65" i="124"/>
  <c r="J37" i="124"/>
  <c r="J7" i="124"/>
  <c r="K91" i="124"/>
  <c r="K60" i="124"/>
  <c r="K32" i="124"/>
  <c r="K115" i="124"/>
  <c r="K78" i="124"/>
  <c r="K55" i="124"/>
  <c r="K28" i="124"/>
  <c r="J60" i="124"/>
  <c r="J55" i="124"/>
  <c r="J32" i="124"/>
  <c r="K17" i="124"/>
  <c r="K106" i="124"/>
  <c r="K84" i="124"/>
  <c r="J78" i="124"/>
  <c r="K103" i="31"/>
  <c r="J103" i="31"/>
  <c r="K15" i="31"/>
  <c r="J15" i="31"/>
  <c r="M15" i="81"/>
  <c r="L15" i="81"/>
  <c r="M12" i="81"/>
  <c r="L12" i="81"/>
  <c r="T108" i="159"/>
  <c r="T92" i="159"/>
  <c r="T59" i="159"/>
  <c r="T41" i="159"/>
  <c r="T25" i="159"/>
  <c r="T7" i="159"/>
  <c r="S108" i="159"/>
  <c r="S92" i="159"/>
  <c r="S59" i="159"/>
  <c r="S41" i="159"/>
  <c r="S25" i="159"/>
  <c r="S7" i="159"/>
  <c r="T124" i="159"/>
  <c r="T104" i="159"/>
  <c r="T88" i="159"/>
  <c r="T55" i="159"/>
  <c r="T37" i="159"/>
  <c r="T21" i="159"/>
  <c r="S124" i="159"/>
  <c r="S104" i="159"/>
  <c r="S88" i="159"/>
  <c r="S55" i="159"/>
  <c r="S37" i="159"/>
  <c r="S21" i="159"/>
  <c r="T95" i="159"/>
  <c r="T45" i="159"/>
  <c r="T10" i="159"/>
  <c r="S95" i="159"/>
  <c r="S45" i="159"/>
  <c r="S10" i="159"/>
  <c r="T116" i="159"/>
  <c r="T68" i="159"/>
  <c r="T33" i="159"/>
  <c r="S116" i="159"/>
  <c r="S68" i="159"/>
  <c r="S33" i="159"/>
  <c r="T111" i="159"/>
  <c r="T62" i="159"/>
  <c r="T28" i="159"/>
  <c r="S111" i="159"/>
  <c r="S62" i="159"/>
  <c r="S28" i="159"/>
  <c r="T100" i="159"/>
  <c r="S100" i="159"/>
  <c r="T51" i="159"/>
  <c r="S51" i="159"/>
  <c r="T16" i="159"/>
  <c r="S16" i="159"/>
  <c r="AO19" i="94"/>
  <c r="AP11" i="94"/>
  <c r="AO11" i="94"/>
  <c r="AP7" i="94"/>
  <c r="AO7" i="94"/>
  <c r="AP40" i="94"/>
  <c r="AO40" i="94"/>
  <c r="AP19" i="94"/>
  <c r="J16" i="191"/>
  <c r="I16" i="191"/>
  <c r="J12" i="191"/>
  <c r="I12" i="191"/>
  <c r="AN16" i="179"/>
  <c r="AM16" i="179"/>
  <c r="AN13" i="179"/>
  <c r="AM13" i="179"/>
  <c r="U24" i="175"/>
  <c r="T24" i="175"/>
  <c r="U15" i="175"/>
  <c r="T15" i="175"/>
  <c r="U27" i="175"/>
  <c r="T27" i="175"/>
  <c r="U12" i="175"/>
  <c r="T12" i="175"/>
  <c r="AA813" i="163"/>
  <c r="AA795" i="163"/>
  <c r="AA775" i="163"/>
  <c r="AA756" i="163"/>
  <c r="AA737" i="163"/>
  <c r="AA718" i="163"/>
  <c r="AA669" i="163"/>
  <c r="AA620" i="163"/>
  <c r="AA568" i="163"/>
  <c r="AA543" i="163"/>
  <c r="AA523" i="163"/>
  <c r="AA505" i="163"/>
  <c r="AA485" i="163"/>
  <c r="AA465" i="163"/>
  <c r="AA442" i="163"/>
  <c r="AA424" i="163"/>
  <c r="AA406" i="163"/>
  <c r="AA386" i="163"/>
  <c r="AA368" i="163"/>
  <c r="AA351" i="163"/>
  <c r="AA334" i="163"/>
  <c r="AA316" i="163"/>
  <c r="AA295" i="163"/>
  <c r="AA243" i="163"/>
  <c r="AA188" i="163"/>
  <c r="AA127" i="163"/>
  <c r="AA63" i="163"/>
  <c r="AA18" i="163"/>
  <c r="Z813" i="163"/>
  <c r="Z795" i="163"/>
  <c r="Z775" i="163"/>
  <c r="Z756" i="163"/>
  <c r="Z737" i="163"/>
  <c r="Z718" i="163"/>
  <c r="Z669" i="163"/>
  <c r="Z620" i="163"/>
  <c r="Z568" i="163"/>
  <c r="Z543" i="163"/>
  <c r="Z523" i="163"/>
  <c r="Z505" i="163"/>
  <c r="Z485" i="163"/>
  <c r="Z465" i="163"/>
  <c r="Z442" i="163"/>
  <c r="Z424" i="163"/>
  <c r="Z406" i="163"/>
  <c r="Z386" i="163"/>
  <c r="Z368" i="163"/>
  <c r="Z351" i="163"/>
  <c r="Z334" i="163"/>
  <c r="Z316" i="163"/>
  <c r="Z295" i="163"/>
  <c r="Z243" i="163"/>
  <c r="Z188" i="163"/>
  <c r="Z127" i="163"/>
  <c r="Z63" i="163"/>
  <c r="Z18" i="163"/>
  <c r="AA808" i="163"/>
  <c r="AA790" i="163"/>
  <c r="AA769" i="163"/>
  <c r="AA750" i="163"/>
  <c r="AA731" i="163"/>
  <c r="AA712" i="163"/>
  <c r="AA663" i="163"/>
  <c r="AA614" i="163"/>
  <c r="AA562" i="163"/>
  <c r="AA537" i="163"/>
  <c r="AA517" i="163"/>
  <c r="AA499" i="163"/>
  <c r="AA479" i="163"/>
  <c r="AA459" i="163"/>
  <c r="AA436" i="163"/>
  <c r="AA418" i="163"/>
  <c r="AA400" i="163"/>
  <c r="AA380" i="163"/>
  <c r="AA363" i="163"/>
  <c r="AA346" i="163"/>
  <c r="AA328" i="163"/>
  <c r="AA310" i="163"/>
  <c r="AA289" i="163"/>
  <c r="AA237" i="163"/>
  <c r="AA182" i="163"/>
  <c r="AA121" i="163"/>
  <c r="AA57" i="163"/>
  <c r="AA11" i="163"/>
  <c r="Z808" i="163"/>
  <c r="Z790" i="163"/>
  <c r="Z769" i="163"/>
  <c r="Z750" i="163"/>
  <c r="Z731" i="163"/>
  <c r="Z712" i="163"/>
  <c r="Z663" i="163"/>
  <c r="Z614" i="163"/>
  <c r="Z562" i="163"/>
  <c r="Z537" i="163"/>
  <c r="Z517" i="163"/>
  <c r="Z499" i="163"/>
  <c r="Z479" i="163"/>
  <c r="Z459" i="163"/>
  <c r="Z436" i="163"/>
  <c r="Z418" i="163"/>
  <c r="Z400" i="163"/>
  <c r="Z380" i="163"/>
  <c r="Z363" i="163"/>
  <c r="Z346" i="163"/>
  <c r="Z328" i="163"/>
  <c r="Z310" i="163"/>
  <c r="Z289" i="163"/>
  <c r="Z237" i="163"/>
  <c r="Z182" i="163"/>
  <c r="Z121" i="163"/>
  <c r="Z57" i="163"/>
  <c r="Z11" i="163"/>
  <c r="Z817" i="163"/>
  <c r="Z782" i="163"/>
  <c r="Z742" i="163"/>
  <c r="Z704" i="163"/>
  <c r="Z606" i="163"/>
  <c r="Z529" i="163"/>
  <c r="Z491" i="163"/>
  <c r="Z451" i="163"/>
  <c r="Z410" i="163"/>
  <c r="Z372" i="163"/>
  <c r="Z338" i="163"/>
  <c r="Z302" i="163"/>
  <c r="Z229" i="163"/>
  <c r="Z113" i="163"/>
  <c r="AA804" i="163"/>
  <c r="AA765" i="163"/>
  <c r="AA727" i="163"/>
  <c r="AA659" i="163"/>
  <c r="AA558" i="163"/>
  <c r="AA513" i="163"/>
  <c r="AA475" i="163"/>
  <c r="AA432" i="163"/>
  <c r="AA396" i="163"/>
  <c r="AA359" i="163"/>
  <c r="AA324" i="163"/>
  <c r="AA285" i="163"/>
  <c r="AA178" i="163"/>
  <c r="AA53" i="163"/>
  <c r="Z804" i="163"/>
  <c r="Z765" i="163"/>
  <c r="Z727" i="163"/>
  <c r="Z659" i="163"/>
  <c r="Z558" i="163"/>
  <c r="Z513" i="163"/>
  <c r="Z475" i="163"/>
  <c r="Z432" i="163"/>
  <c r="Z396" i="163"/>
  <c r="Z359" i="163"/>
  <c r="Z324" i="163"/>
  <c r="Z285" i="163"/>
  <c r="Z178" i="163"/>
  <c r="Z53" i="163"/>
  <c r="AA800" i="163"/>
  <c r="AA761" i="163"/>
  <c r="AA723" i="163"/>
  <c r="AA655" i="163"/>
  <c r="AA554" i="163"/>
  <c r="AA509" i="163"/>
  <c r="AA471" i="163"/>
  <c r="AA428" i="163"/>
  <c r="AA392" i="163"/>
  <c r="AA355" i="163"/>
  <c r="AA320" i="163"/>
  <c r="AA281" i="163"/>
  <c r="AA174" i="163"/>
  <c r="AA49" i="163"/>
  <c r="Z800" i="163"/>
  <c r="Z761" i="163"/>
  <c r="Z723" i="163"/>
  <c r="Z655" i="163"/>
  <c r="Z554" i="163"/>
  <c r="Z509" i="163"/>
  <c r="Z471" i="163"/>
  <c r="Z428" i="163"/>
  <c r="Z392" i="163"/>
  <c r="Z355" i="163"/>
  <c r="Z320" i="163"/>
  <c r="Z281" i="163"/>
  <c r="Z174" i="163"/>
  <c r="Z49" i="163"/>
  <c r="AA786" i="163"/>
  <c r="AA746" i="163"/>
  <c r="AA708" i="163"/>
  <c r="AA610" i="163"/>
  <c r="AA533" i="163"/>
  <c r="AA495" i="163"/>
  <c r="AA455" i="163"/>
  <c r="AA414" i="163"/>
  <c r="AA376" i="163"/>
  <c r="AA342" i="163"/>
  <c r="AA782" i="163"/>
  <c r="AA529" i="163"/>
  <c r="AA372" i="163"/>
  <c r="AA229" i="163"/>
  <c r="Z746" i="163"/>
  <c r="Z495" i="163"/>
  <c r="Z342" i="163"/>
  <c r="AA117" i="163"/>
  <c r="AA742" i="163"/>
  <c r="AA491" i="163"/>
  <c r="AA338" i="163"/>
  <c r="Z117" i="163"/>
  <c r="Z708" i="163"/>
  <c r="Z455" i="163"/>
  <c r="AA306" i="163"/>
  <c r="AA113" i="163"/>
  <c r="AA704" i="163"/>
  <c r="AA451" i="163"/>
  <c r="Z306" i="163"/>
  <c r="AA7" i="163"/>
  <c r="Z610" i="163"/>
  <c r="Z414" i="163"/>
  <c r="AA302" i="163"/>
  <c r="Z7" i="163"/>
  <c r="AA410" i="163"/>
  <c r="Z376" i="163"/>
  <c r="AA233" i="163"/>
  <c r="Z233" i="163"/>
  <c r="AA817" i="163"/>
  <c r="Z786" i="163"/>
  <c r="AA606" i="163"/>
  <c r="Z533" i="163"/>
  <c r="AH12" i="68"/>
  <c r="AI27" i="68"/>
  <c r="AH27" i="68"/>
  <c r="AI24" i="68"/>
  <c r="AI15" i="68"/>
  <c r="AH15" i="68"/>
  <c r="AH24" i="68"/>
  <c r="AI12" i="68"/>
  <c r="U12" i="78"/>
  <c r="V31" i="78"/>
  <c r="U31" i="78"/>
  <c r="V27" i="78"/>
  <c r="V18" i="78"/>
  <c r="U18" i="78"/>
  <c r="U27" i="78"/>
  <c r="V12" i="78"/>
  <c r="AA7" i="77"/>
  <c r="AB34" i="77"/>
  <c r="AA34" i="77"/>
  <c r="AB18" i="77"/>
  <c r="AB11" i="77"/>
  <c r="AA11" i="77"/>
  <c r="AA18" i="77"/>
  <c r="AB7" i="77"/>
  <c r="BA15" i="173"/>
  <c r="AZ15" i="173"/>
  <c r="BA12" i="173"/>
  <c r="AZ12" i="173"/>
  <c r="J17" i="138"/>
  <c r="I17" i="138"/>
  <c r="J12" i="138"/>
  <c r="I12" i="138"/>
  <c r="L35" i="199"/>
  <c r="K35" i="199"/>
  <c r="L32" i="199"/>
  <c r="K32" i="199"/>
  <c r="L47" i="199"/>
  <c r="L23" i="199"/>
  <c r="K47" i="199"/>
  <c r="K23" i="199"/>
  <c r="K44" i="199"/>
  <c r="K13" i="199"/>
  <c r="L44" i="199"/>
  <c r="L13" i="199"/>
  <c r="I98" i="34"/>
  <c r="J15" i="34"/>
  <c r="I15" i="34"/>
  <c r="J98" i="34"/>
  <c r="O58" i="143"/>
  <c r="O68" i="143"/>
  <c r="N51" i="143"/>
  <c r="N35" i="143"/>
  <c r="N68" i="143"/>
  <c r="O47" i="143"/>
  <c r="O16" i="143"/>
  <c r="O63" i="143"/>
  <c r="N47" i="143"/>
  <c r="N16" i="143"/>
  <c r="N63" i="143"/>
  <c r="O42" i="143"/>
  <c r="O10" i="143"/>
  <c r="N58" i="143"/>
  <c r="N42" i="143"/>
  <c r="N10" i="143"/>
  <c r="N39" i="143"/>
  <c r="O35" i="143"/>
  <c r="O7" i="143"/>
  <c r="N7" i="143"/>
  <c r="O55" i="143"/>
  <c r="N55" i="143"/>
  <c r="O51" i="143"/>
  <c r="O39" i="143"/>
  <c r="Y15" i="96"/>
  <c r="X15" i="96"/>
  <c r="Y12" i="96"/>
  <c r="X12" i="96"/>
  <c r="X15" i="85"/>
  <c r="W15" i="85"/>
  <c r="X12" i="85"/>
  <c r="W12" i="85"/>
  <c r="J13" i="194"/>
  <c r="I13" i="194"/>
  <c r="I21" i="194"/>
  <c r="J21" i="194"/>
  <c r="AB15" i="72"/>
  <c r="AA15" i="72"/>
  <c r="AB12" i="72"/>
  <c r="AA12" i="72"/>
  <c r="N33" i="116"/>
  <c r="M33" i="116"/>
  <c r="N26" i="116"/>
  <c r="M26" i="116"/>
  <c r="N16" i="116"/>
  <c r="N12" i="116"/>
  <c r="M16" i="116"/>
  <c r="M12" i="116"/>
  <c r="J17" i="189"/>
  <c r="I17" i="189"/>
  <c r="J12" i="189"/>
  <c r="I12" i="189"/>
  <c r="AA701" i="162"/>
  <c r="AA671" i="162"/>
  <c r="AA641" i="162"/>
  <c r="AA581" i="162"/>
  <c r="AA488" i="162"/>
  <c r="AA451" i="162"/>
  <c r="AA421" i="162"/>
  <c r="AA386" i="162"/>
  <c r="AA358" i="162"/>
  <c r="AA328" i="162"/>
  <c r="Z701" i="162"/>
  <c r="Z671" i="162"/>
  <c r="Z641" i="162"/>
  <c r="Z581" i="162"/>
  <c r="Z488" i="162"/>
  <c r="Z451" i="162"/>
  <c r="Z421" i="162"/>
  <c r="Z386" i="162"/>
  <c r="Z358" i="162"/>
  <c r="Z328" i="162"/>
  <c r="Z302" i="162"/>
  <c r="Z271" i="162"/>
  <c r="Z172" i="162"/>
  <c r="AA692" i="162"/>
  <c r="AA661" i="162"/>
  <c r="AA631" i="162"/>
  <c r="AA571" i="162"/>
  <c r="AA478" i="162"/>
  <c r="AA441" i="162"/>
  <c r="Z692" i="162"/>
  <c r="Z661" i="162"/>
  <c r="Z631" i="162"/>
  <c r="Z571" i="162"/>
  <c r="Z478" i="162"/>
  <c r="Z441" i="162"/>
  <c r="Z411" i="162"/>
  <c r="Z376" i="162"/>
  <c r="Z348" i="162"/>
  <c r="Z319" i="162"/>
  <c r="Z292" i="162"/>
  <c r="Z261" i="162"/>
  <c r="Z162" i="162"/>
  <c r="Z45" i="162"/>
  <c r="Z705" i="162"/>
  <c r="Z646" i="162"/>
  <c r="Z526" i="162"/>
  <c r="Z427" i="162"/>
  <c r="Z372" i="162"/>
  <c r="AA319" i="162"/>
  <c r="AA687" i="162"/>
  <c r="AA626" i="162"/>
  <c r="AA467" i="162"/>
  <c r="AA411" i="162"/>
  <c r="AA362" i="162"/>
  <c r="AA315" i="162"/>
  <c r="AA278" i="162"/>
  <c r="AA172" i="162"/>
  <c r="AA45" i="162"/>
  <c r="Z687" i="162"/>
  <c r="Z626" i="162"/>
  <c r="Z467" i="162"/>
  <c r="AA405" i="162"/>
  <c r="Z362" i="162"/>
  <c r="Z315" i="162"/>
  <c r="Z278" i="162"/>
  <c r="AA162" i="162"/>
  <c r="AA14" i="162"/>
  <c r="AA678" i="162"/>
  <c r="AA616" i="162"/>
  <c r="AA457" i="162"/>
  <c r="Z405" i="162"/>
  <c r="AA348" i="162"/>
  <c r="AA306" i="162"/>
  <c r="AA271" i="162"/>
  <c r="AA115" i="162"/>
  <c r="Z14" i="162"/>
  <c r="Z678" i="162"/>
  <c r="Z616" i="162"/>
  <c r="Z457" i="162"/>
  <c r="AA395" i="162"/>
  <c r="AA342" i="162"/>
  <c r="Z306" i="162"/>
  <c r="AA261" i="162"/>
  <c r="Z115" i="162"/>
  <c r="Z656" i="162"/>
  <c r="Z395" i="162"/>
  <c r="AA288" i="162"/>
  <c r="AA55" i="162"/>
  <c r="AA646" i="162"/>
  <c r="AA376" i="162"/>
  <c r="Z288" i="162"/>
  <c r="Z55" i="162"/>
  <c r="AA536" i="162"/>
  <c r="AA372" i="162"/>
  <c r="AA223" i="162"/>
  <c r="Z536" i="162"/>
  <c r="Z342" i="162"/>
  <c r="Z223" i="162"/>
  <c r="AA526" i="162"/>
  <c r="AA332" i="162"/>
  <c r="AA213" i="162"/>
  <c r="AA437" i="162"/>
  <c r="Z332" i="162"/>
  <c r="Z213" i="162"/>
  <c r="AA302" i="162"/>
  <c r="AA292" i="162"/>
  <c r="AA105" i="162"/>
  <c r="Z105" i="162"/>
  <c r="AA705" i="162"/>
  <c r="AA656" i="162"/>
  <c r="Z437" i="162"/>
  <c r="AA427" i="162"/>
  <c r="T101" i="152"/>
  <c r="S96" i="152"/>
  <c r="S78" i="152"/>
  <c r="S62" i="152"/>
  <c r="S45" i="152"/>
  <c r="S16" i="152"/>
  <c r="T91" i="152"/>
  <c r="T73" i="152"/>
  <c r="T56" i="152"/>
  <c r="T40" i="152"/>
  <c r="T10" i="152"/>
  <c r="S91" i="152"/>
  <c r="S73" i="152"/>
  <c r="S56" i="152"/>
  <c r="S40" i="152"/>
  <c r="S10" i="152"/>
  <c r="T88" i="152"/>
  <c r="T70" i="152"/>
  <c r="T53" i="152"/>
  <c r="T37" i="152"/>
  <c r="T7" i="152"/>
  <c r="S88" i="152"/>
  <c r="S70" i="152"/>
  <c r="S53" i="152"/>
  <c r="S37" i="152"/>
  <c r="S7" i="152"/>
  <c r="T84" i="152"/>
  <c r="T66" i="152"/>
  <c r="T49" i="152"/>
  <c r="T33" i="152"/>
  <c r="S49" i="152"/>
  <c r="T45" i="152"/>
  <c r="S101" i="152"/>
  <c r="S33" i="152"/>
  <c r="T96" i="152"/>
  <c r="T16" i="152"/>
  <c r="S84" i="152"/>
  <c r="T78" i="152"/>
  <c r="S66" i="152"/>
  <c r="T62" i="152"/>
  <c r="AH12" i="59"/>
  <c r="AI27" i="59"/>
  <c r="AH27" i="59"/>
  <c r="AI24" i="59"/>
  <c r="AI15" i="59"/>
  <c r="AH15" i="59"/>
  <c r="AH24" i="59"/>
  <c r="AI12" i="59"/>
  <c r="I39" i="26"/>
  <c r="J12" i="26"/>
  <c r="I12" i="26"/>
  <c r="J39" i="26"/>
  <c r="T88" i="153"/>
  <c r="S88" i="153"/>
  <c r="T101" i="153"/>
  <c r="T84" i="153"/>
  <c r="T66" i="153"/>
  <c r="T49" i="153"/>
  <c r="T33" i="153"/>
  <c r="S101" i="153"/>
  <c r="S84" i="153"/>
  <c r="S66" i="153"/>
  <c r="S49" i="153"/>
  <c r="S33" i="153"/>
  <c r="T73" i="153"/>
  <c r="T53" i="153"/>
  <c r="T16" i="153"/>
  <c r="S73" i="153"/>
  <c r="S53" i="153"/>
  <c r="S16" i="153"/>
  <c r="T96" i="153"/>
  <c r="T70" i="153"/>
  <c r="T45" i="153"/>
  <c r="T10" i="153"/>
  <c r="S96" i="153"/>
  <c r="S70" i="153"/>
  <c r="S45" i="153"/>
  <c r="S10" i="153"/>
  <c r="T91" i="153"/>
  <c r="T62" i="153"/>
  <c r="T40" i="153"/>
  <c r="T7" i="153"/>
  <c r="S91" i="153"/>
  <c r="S62" i="153"/>
  <c r="S40" i="153"/>
  <c r="S7" i="153"/>
  <c r="T37" i="153"/>
  <c r="S37" i="153"/>
  <c r="T78" i="153"/>
  <c r="S78" i="153"/>
  <c r="T56" i="153"/>
  <c r="S56" i="153"/>
  <c r="V15" i="70"/>
  <c r="U15" i="70"/>
  <c r="V12" i="70"/>
  <c r="U12" i="70"/>
  <c r="R12" i="69"/>
  <c r="S15" i="69"/>
  <c r="R15" i="69"/>
  <c r="S12" i="69"/>
  <c r="Q91" i="113"/>
  <c r="Q56" i="113"/>
  <c r="P91" i="113"/>
  <c r="P56" i="113"/>
  <c r="Q87" i="113"/>
  <c r="Q50" i="113"/>
  <c r="P87" i="113"/>
  <c r="P50" i="113"/>
  <c r="Q78" i="113"/>
  <c r="Q40" i="113"/>
  <c r="Q66" i="113"/>
  <c r="P78" i="113"/>
  <c r="P66" i="113"/>
  <c r="P40" i="113"/>
  <c r="Q13" i="113"/>
  <c r="P13" i="113"/>
  <c r="AC30" i="171"/>
  <c r="AC15" i="171"/>
  <c r="AB30" i="171"/>
  <c r="AB15" i="171"/>
  <c r="AC25" i="171"/>
  <c r="AC10" i="171"/>
  <c r="AB25" i="171"/>
  <c r="AB10" i="171"/>
  <c r="AB18" i="171"/>
  <c r="AC7" i="171"/>
  <c r="AB7" i="171"/>
  <c r="AC33" i="171"/>
  <c r="AB33" i="171"/>
  <c r="AC22" i="171"/>
  <c r="AC18" i="171"/>
  <c r="AB22" i="171"/>
  <c r="O89" i="148"/>
  <c r="O65" i="148"/>
  <c r="O47" i="148"/>
  <c r="O18" i="148"/>
  <c r="P83" i="148"/>
  <c r="P60" i="148"/>
  <c r="P42" i="148"/>
  <c r="P12" i="148"/>
  <c r="O78" i="148"/>
  <c r="P74" i="148"/>
  <c r="P47" i="148"/>
  <c r="P7" i="148"/>
  <c r="O74" i="148"/>
  <c r="O42" i="148"/>
  <c r="O7" i="148"/>
  <c r="P65" i="148"/>
  <c r="P37" i="148"/>
  <c r="P104" i="148"/>
  <c r="O60" i="148"/>
  <c r="O37" i="148"/>
  <c r="O104" i="148"/>
  <c r="P55" i="148"/>
  <c r="P33" i="148"/>
  <c r="P89" i="148"/>
  <c r="O55" i="148"/>
  <c r="O33" i="148"/>
  <c r="P51" i="148"/>
  <c r="O51" i="148"/>
  <c r="P18" i="148"/>
  <c r="O12" i="148"/>
  <c r="O83" i="148"/>
  <c r="P78" i="148"/>
  <c r="Q15" i="62"/>
  <c r="P15" i="62"/>
  <c r="Q12" i="62"/>
  <c r="P12" i="62"/>
  <c r="W13" i="73"/>
  <c r="X29" i="73"/>
  <c r="W29" i="73"/>
  <c r="X26" i="73"/>
  <c r="X16" i="73"/>
  <c r="W16" i="73"/>
  <c r="W26" i="73"/>
  <c r="X13" i="73"/>
  <c r="S172" i="150"/>
  <c r="S155" i="150"/>
  <c r="S135" i="150"/>
  <c r="S118" i="150"/>
  <c r="S102" i="150"/>
  <c r="S85" i="150"/>
  <c r="S64" i="150"/>
  <c r="S47" i="150"/>
  <c r="S17" i="150"/>
  <c r="T167" i="150"/>
  <c r="T150" i="150"/>
  <c r="T130" i="150"/>
  <c r="T113" i="150"/>
  <c r="T96" i="150"/>
  <c r="T80" i="150"/>
  <c r="T58" i="150"/>
  <c r="T42" i="150"/>
  <c r="T10" i="150"/>
  <c r="S167" i="150"/>
  <c r="S164" i="150"/>
  <c r="S147" i="150"/>
  <c r="S127" i="150"/>
  <c r="S110" i="150"/>
  <c r="S93" i="150"/>
  <c r="S77" i="150"/>
  <c r="S55" i="150"/>
  <c r="S39" i="150"/>
  <c r="S7" i="150"/>
  <c r="T155" i="150"/>
  <c r="T123" i="150"/>
  <c r="S96" i="150"/>
  <c r="S73" i="150"/>
  <c r="T39" i="150"/>
  <c r="S150" i="150"/>
  <c r="S123" i="150"/>
  <c r="T93" i="150"/>
  <c r="T64" i="150"/>
  <c r="T35" i="150"/>
  <c r="T182" i="150"/>
  <c r="T147" i="150"/>
  <c r="T118" i="150"/>
  <c r="T89" i="150"/>
  <c r="S58" i="150"/>
  <c r="S35" i="150"/>
  <c r="S182" i="150"/>
  <c r="T143" i="150"/>
  <c r="S113" i="150"/>
  <c r="S89" i="150"/>
  <c r="T55" i="150"/>
  <c r="T17" i="150"/>
  <c r="T172" i="150"/>
  <c r="S143" i="150"/>
  <c r="T110" i="150"/>
  <c r="T85" i="150"/>
  <c r="T51" i="150"/>
  <c r="S10" i="150"/>
  <c r="T164" i="150"/>
  <c r="T135" i="150"/>
  <c r="T106" i="150"/>
  <c r="S80" i="150"/>
  <c r="S51" i="150"/>
  <c r="T7" i="150"/>
  <c r="T160" i="150"/>
  <c r="T47" i="150"/>
  <c r="S160" i="150"/>
  <c r="S42" i="150"/>
  <c r="S130" i="150"/>
  <c r="T127" i="150"/>
  <c r="S106" i="150"/>
  <c r="T102" i="150"/>
  <c r="T77" i="150"/>
  <c r="T73" i="150"/>
  <c r="O81" i="147"/>
  <c r="O59" i="147"/>
  <c r="O43" i="147"/>
  <c r="O16" i="147"/>
  <c r="P75" i="147"/>
  <c r="P54" i="147"/>
  <c r="P38" i="147"/>
  <c r="P10" i="147"/>
  <c r="P68" i="147"/>
  <c r="P43" i="147"/>
  <c r="P7" i="147"/>
  <c r="O68" i="147"/>
  <c r="O38" i="147"/>
  <c r="O7" i="147"/>
  <c r="P96" i="147"/>
  <c r="P59" i="147"/>
  <c r="P35" i="147"/>
  <c r="O96" i="147"/>
  <c r="O54" i="147"/>
  <c r="O35" i="147"/>
  <c r="P81" i="147"/>
  <c r="P51" i="147"/>
  <c r="P31" i="147"/>
  <c r="O75" i="147"/>
  <c r="O51" i="147"/>
  <c r="O31" i="147"/>
  <c r="P16" i="147"/>
  <c r="O10" i="147"/>
  <c r="P72" i="147"/>
  <c r="O72" i="147"/>
  <c r="P47" i="147"/>
  <c r="O47" i="147"/>
  <c r="J13" i="167"/>
  <c r="I13" i="167"/>
  <c r="J31" i="167"/>
  <c r="I31" i="167"/>
  <c r="J26" i="197"/>
  <c r="I26" i="197"/>
  <c r="J12" i="197"/>
  <c r="I12" i="197"/>
  <c r="X12" i="71"/>
  <c r="Y15" i="71"/>
  <c r="X15" i="71"/>
  <c r="Y12" i="71"/>
  <c r="U15" i="83"/>
  <c r="T15" i="83"/>
  <c r="U12" i="83"/>
  <c r="T12" i="83"/>
  <c r="M106" i="136"/>
  <c r="M83" i="136"/>
  <c r="M62" i="136"/>
  <c r="M45" i="136"/>
  <c r="M19" i="136"/>
  <c r="N97" i="136"/>
  <c r="M97" i="136"/>
  <c r="M76" i="136"/>
  <c r="M58" i="136"/>
  <c r="M33" i="136"/>
  <c r="M16" i="136"/>
  <c r="N91" i="136"/>
  <c r="N70" i="136"/>
  <c r="N53" i="136"/>
  <c r="N27" i="136"/>
  <c r="N11" i="136"/>
  <c r="M91" i="136"/>
  <c r="M70" i="136"/>
  <c r="M53" i="136"/>
  <c r="M27" i="136"/>
  <c r="M11" i="136"/>
  <c r="N66" i="136"/>
  <c r="N23" i="136"/>
  <c r="M66" i="136"/>
  <c r="M23" i="136"/>
  <c r="N62" i="136"/>
  <c r="N19" i="136"/>
  <c r="N106" i="136"/>
  <c r="N58" i="136"/>
  <c r="N16" i="136"/>
  <c r="N87" i="136"/>
  <c r="N49" i="136"/>
  <c r="N7" i="136"/>
  <c r="M87" i="136"/>
  <c r="M49" i="136"/>
  <c r="N83" i="136"/>
  <c r="N45" i="136"/>
  <c r="N76" i="136"/>
  <c r="N33" i="136"/>
  <c r="M7" i="136"/>
  <c r="AD12" i="57"/>
  <c r="AE27" i="57"/>
  <c r="AD27" i="57"/>
  <c r="AE24" i="57"/>
  <c r="AE15" i="57"/>
  <c r="AD15" i="57"/>
  <c r="AD24" i="57"/>
  <c r="AE12" i="57"/>
  <c r="L73" i="134"/>
  <c r="L41" i="134"/>
  <c r="L64" i="134"/>
  <c r="L25" i="134"/>
  <c r="M54" i="134"/>
  <c r="M15" i="134"/>
  <c r="L54" i="134"/>
  <c r="L15" i="134"/>
  <c r="M12" i="134"/>
  <c r="L12" i="134"/>
  <c r="M73" i="134"/>
  <c r="M64" i="134"/>
  <c r="M50" i="134"/>
  <c r="M41" i="134"/>
  <c r="L50" i="134"/>
  <c r="M25" i="134"/>
  <c r="AE24" i="177"/>
  <c r="AD24" i="177"/>
  <c r="AE15" i="177"/>
  <c r="AD15" i="177"/>
  <c r="AE27" i="177"/>
  <c r="AD27" i="177"/>
  <c r="AE12" i="177"/>
  <c r="AD12" i="177"/>
  <c r="N51" i="145"/>
  <c r="N18" i="145"/>
  <c r="O46" i="145"/>
  <c r="O12" i="145"/>
  <c r="O37" i="145"/>
  <c r="N37" i="145"/>
  <c r="O55" i="145"/>
  <c r="O18" i="145"/>
  <c r="N55" i="145"/>
  <c r="N12" i="145"/>
  <c r="O51" i="145"/>
  <c r="O7" i="145"/>
  <c r="N46" i="145"/>
  <c r="O41" i="145"/>
  <c r="N41" i="145"/>
  <c r="N7" i="145"/>
  <c r="M45" i="137"/>
  <c r="M19" i="137"/>
  <c r="N33" i="137"/>
  <c r="N16" i="137"/>
  <c r="M33" i="137"/>
  <c r="M16" i="137"/>
  <c r="N27" i="137"/>
  <c r="N11" i="137"/>
  <c r="M27" i="137"/>
  <c r="M11" i="137"/>
  <c r="N19" i="137"/>
  <c r="N7" i="137"/>
  <c r="M7" i="137"/>
  <c r="N45" i="137"/>
  <c r="N23" i="137"/>
  <c r="M23" i="137"/>
  <c r="J25" i="105"/>
  <c r="I25" i="105"/>
  <c r="J13" i="105"/>
  <c r="I13" i="105"/>
  <c r="J7" i="156"/>
  <c r="I7" i="156"/>
  <c r="J38" i="156"/>
  <c r="I38" i="156"/>
  <c r="J10" i="156"/>
  <c r="I10" i="156"/>
  <c r="J16" i="156"/>
  <c r="I16" i="156"/>
  <c r="O75" i="126"/>
  <c r="O45" i="126"/>
  <c r="O68" i="126"/>
  <c r="O25" i="126"/>
  <c r="P58" i="126"/>
  <c r="P12" i="126"/>
  <c r="O58" i="126"/>
  <c r="O12" i="126"/>
  <c r="P94" i="126"/>
  <c r="P54" i="126"/>
  <c r="O94" i="126"/>
  <c r="O54" i="126"/>
  <c r="P85" i="126"/>
  <c r="P45" i="126"/>
  <c r="P75" i="126"/>
  <c r="P15" i="126"/>
  <c r="P25" i="126"/>
  <c r="O15" i="126"/>
  <c r="O85" i="126"/>
  <c r="P68" i="126"/>
  <c r="AL16" i="185"/>
  <c r="AK16" i="185"/>
  <c r="AL13" i="185"/>
  <c r="AK13" i="185"/>
  <c r="AD12" i="58"/>
  <c r="AE27" i="58"/>
  <c r="AD27" i="58"/>
  <c r="AE24" i="58"/>
  <c r="AE15" i="58"/>
  <c r="AD15" i="58"/>
  <c r="AD24" i="58"/>
  <c r="AE12" i="58"/>
  <c r="Q15" i="47"/>
  <c r="R12" i="47"/>
  <c r="Q12" i="47"/>
  <c r="R15" i="47"/>
  <c r="AA26" i="53"/>
  <c r="AB13" i="53"/>
  <c r="AA13" i="53"/>
  <c r="AB47" i="53"/>
  <c r="AA47" i="53"/>
  <c r="AB36" i="53"/>
  <c r="AA36" i="53"/>
  <c r="AB26" i="53"/>
  <c r="AD15" i="187"/>
  <c r="AC15" i="187"/>
  <c r="AD12" i="187"/>
  <c r="AC12" i="187"/>
  <c r="AC126" i="118"/>
  <c r="AC100" i="118"/>
  <c r="AC75" i="118"/>
  <c r="AC51" i="118"/>
  <c r="AC27" i="118"/>
  <c r="AB126" i="118"/>
  <c r="AB100" i="118"/>
  <c r="AB75" i="118"/>
  <c r="AB51" i="118"/>
  <c r="AB27" i="118"/>
  <c r="AC122" i="118"/>
  <c r="AC96" i="118"/>
  <c r="AC72" i="118"/>
  <c r="AC48" i="118"/>
  <c r="AC24" i="118"/>
  <c r="AB122" i="118"/>
  <c r="AB96" i="118"/>
  <c r="AB72" i="118"/>
  <c r="AB48" i="118"/>
  <c r="AB24" i="118"/>
  <c r="AC112" i="118"/>
  <c r="AC87" i="118"/>
  <c r="AC63" i="118"/>
  <c r="AC39" i="118"/>
  <c r="AC15" i="118"/>
  <c r="AC109" i="118"/>
  <c r="AC84" i="118"/>
  <c r="AC60" i="118"/>
  <c r="AC36" i="118"/>
  <c r="AC12" i="118"/>
  <c r="AB87" i="118"/>
  <c r="AB84" i="118"/>
  <c r="AB63" i="118"/>
  <c r="AB60" i="118"/>
  <c r="AB39" i="118"/>
  <c r="AB36" i="118"/>
  <c r="AB112" i="118"/>
  <c r="AB15" i="118"/>
  <c r="AB12" i="118"/>
  <c r="AB109" i="118"/>
  <c r="L63" i="28"/>
  <c r="L39" i="28"/>
  <c r="M60" i="28"/>
  <c r="M12" i="28"/>
  <c r="L60" i="28"/>
  <c r="L12" i="28"/>
  <c r="M51" i="28"/>
  <c r="L51" i="28"/>
  <c r="M48" i="28"/>
  <c r="L48" i="28"/>
  <c r="M63" i="28"/>
  <c r="M39" i="28"/>
  <c r="K98" i="33"/>
  <c r="J98" i="33"/>
  <c r="K15" i="33"/>
  <c r="J15" i="33"/>
  <c r="P89" i="165"/>
  <c r="P58" i="165"/>
  <c r="P14" i="165"/>
  <c r="O89" i="165"/>
  <c r="O58" i="165"/>
  <c r="O14" i="165"/>
  <c r="P118" i="165"/>
  <c r="P80" i="165"/>
  <c r="P48" i="165"/>
  <c r="O118" i="165"/>
  <c r="O80" i="165"/>
  <c r="O48" i="165"/>
  <c r="O62" i="165"/>
  <c r="P108" i="165"/>
  <c r="P29" i="165"/>
  <c r="O108" i="165"/>
  <c r="O29" i="165"/>
  <c r="P99" i="165"/>
  <c r="P18" i="165"/>
  <c r="O99" i="165"/>
  <c r="O18" i="165"/>
  <c r="P72" i="165"/>
  <c r="O72" i="165"/>
  <c r="P62" i="165"/>
  <c r="O81" i="146"/>
  <c r="O59" i="146"/>
  <c r="O43" i="146"/>
  <c r="O16" i="146"/>
  <c r="P75" i="146"/>
  <c r="P54" i="146"/>
  <c r="P38" i="146"/>
  <c r="P10" i="146"/>
  <c r="P68" i="146"/>
  <c r="P43" i="146"/>
  <c r="P7" i="146"/>
  <c r="O68" i="146"/>
  <c r="O38" i="146"/>
  <c r="O7" i="146"/>
  <c r="P96" i="146"/>
  <c r="P59" i="146"/>
  <c r="P35" i="146"/>
  <c r="O96" i="146"/>
  <c r="O54" i="146"/>
  <c r="O35" i="146"/>
  <c r="P81" i="146"/>
  <c r="P51" i="146"/>
  <c r="P31" i="146"/>
  <c r="O75" i="146"/>
  <c r="O51" i="146"/>
  <c r="O31" i="146"/>
  <c r="P72" i="146"/>
  <c r="O72" i="146"/>
  <c r="P47" i="146"/>
  <c r="O47" i="146"/>
  <c r="P16" i="146"/>
  <c r="O10" i="146"/>
  <c r="I40" i="103"/>
  <c r="J10" i="103"/>
  <c r="J40" i="103"/>
  <c r="J16" i="103"/>
  <c r="I16" i="103"/>
  <c r="I10" i="103"/>
  <c r="J7" i="103"/>
  <c r="I7" i="103"/>
  <c r="K64" i="41"/>
  <c r="L43" i="41"/>
  <c r="K43" i="41"/>
  <c r="L33" i="41"/>
  <c r="K33" i="41"/>
  <c r="L13" i="41"/>
  <c r="K13" i="41"/>
  <c r="L64" i="41"/>
  <c r="N63" i="144"/>
  <c r="N47" i="144"/>
  <c r="N16" i="144"/>
  <c r="O58" i="144"/>
  <c r="O42" i="144"/>
  <c r="O10" i="144"/>
  <c r="O63" i="144"/>
  <c r="O39" i="144"/>
  <c r="N58" i="144"/>
  <c r="N39" i="144"/>
  <c r="O55" i="144"/>
  <c r="O35" i="144"/>
  <c r="N55" i="144"/>
  <c r="N35" i="144"/>
  <c r="O51" i="144"/>
  <c r="O16" i="144"/>
  <c r="N42" i="144"/>
  <c r="N10" i="144"/>
  <c r="O7" i="144"/>
  <c r="N7" i="144"/>
  <c r="O68" i="144"/>
  <c r="N68" i="144"/>
  <c r="N51" i="144"/>
  <c r="O47" i="144"/>
  <c r="O161" i="141"/>
  <c r="O145" i="141"/>
  <c r="O125" i="141"/>
  <c r="O64" i="141"/>
  <c r="P157" i="141"/>
  <c r="P137" i="141"/>
  <c r="P78" i="141"/>
  <c r="P17" i="141"/>
  <c r="O157" i="141"/>
  <c r="O137" i="141"/>
  <c r="O78" i="141"/>
  <c r="O17" i="141"/>
  <c r="P152" i="141"/>
  <c r="P132" i="141"/>
  <c r="P71" i="141"/>
  <c r="P10" i="141"/>
  <c r="O152" i="141"/>
  <c r="O132" i="141"/>
  <c r="O71" i="141"/>
  <c r="O10" i="141"/>
  <c r="P145" i="141"/>
  <c r="O7" i="141"/>
  <c r="P129" i="141"/>
  <c r="O129" i="141"/>
  <c r="P125" i="141"/>
  <c r="P68" i="141"/>
  <c r="P161" i="141"/>
  <c r="O68" i="141"/>
  <c r="P149" i="141"/>
  <c r="P64" i="141"/>
  <c r="O149" i="141"/>
  <c r="P7" i="141"/>
  <c r="X675" i="92"/>
  <c r="X656" i="92"/>
  <c r="X637" i="92"/>
  <c r="X604" i="92"/>
  <c r="X570" i="92"/>
  <c r="X535" i="92"/>
  <c r="X501" i="92"/>
  <c r="X466" i="92"/>
  <c r="X432" i="92"/>
  <c r="X397" i="92"/>
  <c r="X363" i="92"/>
  <c r="X328" i="92"/>
  <c r="X294" i="92"/>
  <c r="X259" i="92"/>
  <c r="X225" i="92"/>
  <c r="X190" i="92"/>
  <c r="X156" i="92"/>
  <c r="X121" i="92"/>
  <c r="X87" i="92"/>
  <c r="X52" i="92"/>
  <c r="X18" i="92"/>
  <c r="Y670" i="92"/>
  <c r="Y651" i="92"/>
  <c r="Y632" i="92"/>
  <c r="Y599" i="92"/>
  <c r="Y565" i="92"/>
  <c r="Y530" i="92"/>
  <c r="Y496" i="92"/>
  <c r="Y461" i="92"/>
  <c r="Y427" i="92"/>
  <c r="Y392" i="92"/>
  <c r="Y358" i="92"/>
  <c r="Y323" i="92"/>
  <c r="Y289" i="92"/>
  <c r="Y254" i="92"/>
  <c r="Y220" i="92"/>
  <c r="Y185" i="92"/>
  <c r="Y151" i="92"/>
  <c r="Y116" i="92"/>
  <c r="Y82" i="92"/>
  <c r="Y47" i="92"/>
  <c r="Y13" i="92"/>
  <c r="X670" i="92"/>
  <c r="X651" i="92"/>
  <c r="X632" i="92"/>
  <c r="X599" i="92"/>
  <c r="X565" i="92"/>
  <c r="X530" i="92"/>
  <c r="X496" i="92"/>
  <c r="X461" i="92"/>
  <c r="X427" i="92"/>
  <c r="X392" i="92"/>
  <c r="X358" i="92"/>
  <c r="X323" i="92"/>
  <c r="X289" i="92"/>
  <c r="X254" i="92"/>
  <c r="X220" i="92"/>
  <c r="X185" i="92"/>
  <c r="X151" i="92"/>
  <c r="X116" i="92"/>
  <c r="X82" i="92"/>
  <c r="X47" i="92"/>
  <c r="X13" i="92"/>
  <c r="Y666" i="92"/>
  <c r="Y647" i="92"/>
  <c r="Y628" i="92"/>
  <c r="Y593" i="92"/>
  <c r="Y559" i="92"/>
  <c r="Y524" i="92"/>
  <c r="Y490" i="92"/>
  <c r="Y455" i="92"/>
  <c r="Y421" i="92"/>
  <c r="Y386" i="92"/>
  <c r="Y352" i="92"/>
  <c r="Y317" i="92"/>
  <c r="Y283" i="92"/>
  <c r="Y248" i="92"/>
  <c r="Y214" i="92"/>
  <c r="Y179" i="92"/>
  <c r="Y145" i="92"/>
  <c r="Y110" i="92"/>
  <c r="Y76" i="92"/>
  <c r="Y41" i="92"/>
  <c r="Y7" i="92"/>
  <c r="X666" i="92"/>
  <c r="X647" i="92"/>
  <c r="X628" i="92"/>
  <c r="X593" i="92"/>
  <c r="X559" i="92"/>
  <c r="X524" i="92"/>
  <c r="X490" i="92"/>
  <c r="X455" i="92"/>
  <c r="X421" i="92"/>
  <c r="X386" i="92"/>
  <c r="X352" i="92"/>
  <c r="X317" i="92"/>
  <c r="X283" i="92"/>
  <c r="X248" i="92"/>
  <c r="X214" i="92"/>
  <c r="X179" i="92"/>
  <c r="X145" i="92"/>
  <c r="Y679" i="92"/>
  <c r="Y662" i="92"/>
  <c r="Y643" i="92"/>
  <c r="Y624" i="92"/>
  <c r="Y589" i="92"/>
  <c r="Y555" i="92"/>
  <c r="Y520" i="92"/>
  <c r="Y486" i="92"/>
  <c r="Y451" i="92"/>
  <c r="Y417" i="92"/>
  <c r="Y382" i="92"/>
  <c r="Y348" i="92"/>
  <c r="Y313" i="92"/>
  <c r="Y279" i="92"/>
  <c r="Y244" i="92"/>
  <c r="Y210" i="92"/>
  <c r="Y175" i="92"/>
  <c r="Y141" i="92"/>
  <c r="Y106" i="92"/>
  <c r="Y72" i="92"/>
  <c r="Y37" i="92"/>
  <c r="X679" i="92"/>
  <c r="X662" i="92"/>
  <c r="X643" i="92"/>
  <c r="X624" i="92"/>
  <c r="X589" i="92"/>
  <c r="X555" i="92"/>
  <c r="X520" i="92"/>
  <c r="X486" i="92"/>
  <c r="X451" i="92"/>
  <c r="X417" i="92"/>
  <c r="X382" i="92"/>
  <c r="X348" i="92"/>
  <c r="X313" i="92"/>
  <c r="X279" i="92"/>
  <c r="X244" i="92"/>
  <c r="X210" i="92"/>
  <c r="X175" i="92"/>
  <c r="X141" i="92"/>
  <c r="X106" i="92"/>
  <c r="X72" i="92"/>
  <c r="X37" i="92"/>
  <c r="Y570" i="92"/>
  <c r="Y294" i="92"/>
  <c r="X76" i="92"/>
  <c r="Y535" i="92"/>
  <c r="Y259" i="92"/>
  <c r="Y52" i="92"/>
  <c r="Y501" i="92"/>
  <c r="Y225" i="92"/>
  <c r="X41" i="92"/>
  <c r="Y466" i="92"/>
  <c r="Y190" i="92"/>
  <c r="Y18" i="92"/>
  <c r="Y675" i="92"/>
  <c r="Y432" i="92"/>
  <c r="Y156" i="92"/>
  <c r="X7" i="92"/>
  <c r="Y656" i="92"/>
  <c r="Y397" i="92"/>
  <c r="Y121" i="92"/>
  <c r="Y637" i="92"/>
  <c r="Y363" i="92"/>
  <c r="X110" i="92"/>
  <c r="Y604" i="92"/>
  <c r="Y328" i="92"/>
  <c r="Y87" i="92"/>
  <c r="W14" i="91"/>
  <c r="X49" i="91"/>
  <c r="W49" i="91"/>
  <c r="X14" i="91"/>
  <c r="S25" i="99"/>
  <c r="T25" i="99"/>
  <c r="T13" i="99"/>
  <c r="S13" i="99"/>
  <c r="T27" i="98"/>
  <c r="T13" i="98"/>
  <c r="S13" i="98"/>
  <c r="S27" i="98"/>
  <c r="AD15" i="64"/>
  <c r="AC15" i="64"/>
  <c r="AD12" i="64"/>
  <c r="AC12" i="64"/>
  <c r="AN16" i="95"/>
  <c r="AO11" i="95"/>
  <c r="AN11" i="95"/>
  <c r="AO7" i="95"/>
  <c r="AN7" i="95"/>
  <c r="AO41" i="95"/>
  <c r="AN41" i="95"/>
  <c r="AO16" i="95"/>
  <c r="L13" i="166"/>
  <c r="K13" i="166"/>
  <c r="L57" i="166"/>
  <c r="K57" i="166"/>
  <c r="K29" i="166"/>
  <c r="L39" i="166"/>
  <c r="L29" i="166"/>
  <c r="K39" i="166"/>
  <c r="J37" i="43"/>
  <c r="K13" i="43"/>
  <c r="J13" i="43"/>
  <c r="K62" i="43"/>
  <c r="J62" i="43"/>
  <c r="K47" i="43"/>
  <c r="J47" i="43"/>
  <c r="K37" i="43"/>
  <c r="AJ12" i="66"/>
  <c r="AK27" i="66"/>
  <c r="AJ27" i="66"/>
  <c r="AK24" i="66"/>
  <c r="AK15" i="66"/>
  <c r="AJ15" i="66"/>
  <c r="AJ24" i="66"/>
  <c r="AK12" i="66"/>
  <c r="O150" i="114"/>
  <c r="O114" i="114"/>
  <c r="O83" i="114"/>
  <c r="O47" i="114"/>
  <c r="N150" i="114"/>
  <c r="N114" i="114"/>
  <c r="N83" i="114"/>
  <c r="N47" i="114"/>
  <c r="O143" i="114"/>
  <c r="O110" i="114"/>
  <c r="O70" i="114"/>
  <c r="O39" i="114"/>
  <c r="N143" i="114"/>
  <c r="N110" i="114"/>
  <c r="N70" i="114"/>
  <c r="N39" i="114"/>
  <c r="O133" i="114"/>
  <c r="O101" i="114"/>
  <c r="O60" i="114"/>
  <c r="O29" i="114"/>
  <c r="O124" i="114"/>
  <c r="O93" i="114"/>
  <c r="O56" i="114"/>
  <c r="O13" i="114"/>
  <c r="N29" i="114"/>
  <c r="N13" i="114"/>
  <c r="N133" i="114"/>
  <c r="N124" i="114"/>
  <c r="N101" i="114"/>
  <c r="N93" i="114"/>
  <c r="N60" i="114"/>
  <c r="N56" i="114"/>
  <c r="Q15" i="48"/>
  <c r="P15" i="48"/>
  <c r="Q12" i="48"/>
  <c r="P12" i="48"/>
  <c r="AG36" i="174"/>
  <c r="AG12" i="174"/>
  <c r="AF36" i="174"/>
  <c r="AF12" i="174"/>
  <c r="AG27" i="174"/>
  <c r="AF27" i="174"/>
  <c r="AF39" i="174"/>
  <c r="AG24" i="174"/>
  <c r="AF24" i="174"/>
  <c r="AG15" i="174"/>
  <c r="AF15" i="174"/>
  <c r="AG39" i="174"/>
  <c r="AE12" i="184"/>
  <c r="AD12" i="184"/>
  <c r="AE15" i="184"/>
  <c r="AD15" i="184"/>
  <c r="AR16" i="183"/>
  <c r="AQ16" i="183"/>
  <c r="AR13" i="183"/>
  <c r="AQ13" i="183"/>
  <c r="N36" i="109"/>
  <c r="M36" i="109"/>
  <c r="N13" i="109"/>
  <c r="M13" i="109"/>
  <c r="N58" i="109"/>
  <c r="M58" i="109"/>
  <c r="N46" i="109"/>
  <c r="M46" i="109"/>
  <c r="N61" i="106"/>
  <c r="N45" i="106"/>
  <c r="N27" i="106"/>
  <c r="N10" i="106"/>
  <c r="M61" i="106"/>
  <c r="M45" i="106"/>
  <c r="M27" i="106"/>
  <c r="M10" i="106"/>
  <c r="N58" i="106"/>
  <c r="N42" i="106"/>
  <c r="N24" i="106"/>
  <c r="N7" i="106"/>
  <c r="M58" i="106"/>
  <c r="M42" i="106"/>
  <c r="M24" i="106"/>
  <c r="M7" i="106"/>
  <c r="N71" i="106"/>
  <c r="N54" i="106"/>
  <c r="N38" i="106"/>
  <c r="N20" i="106"/>
  <c r="N32" i="106"/>
  <c r="M71" i="106"/>
  <c r="M32" i="106"/>
  <c r="N66" i="106"/>
  <c r="M20" i="106"/>
  <c r="M66" i="106"/>
  <c r="N15" i="106"/>
  <c r="M54" i="106"/>
  <c r="M15" i="106"/>
  <c r="N50" i="106"/>
  <c r="M50" i="106"/>
  <c r="M38" i="106"/>
  <c r="J51" i="125"/>
  <c r="J28" i="125"/>
  <c r="J43" i="125"/>
  <c r="J17" i="125"/>
  <c r="K28" i="125"/>
  <c r="K17" i="125"/>
  <c r="K51" i="125"/>
  <c r="K12" i="125"/>
  <c r="K43" i="125"/>
  <c r="J12" i="125"/>
  <c r="K37" i="125"/>
  <c r="K7" i="125"/>
  <c r="K32" i="125"/>
  <c r="J37" i="125"/>
  <c r="J32" i="125"/>
  <c r="J7" i="125"/>
  <c r="Z692" i="161"/>
  <c r="AA687" i="161"/>
  <c r="AA656" i="161"/>
  <c r="AA626" i="161"/>
  <c r="AA536" i="161"/>
  <c r="AA467" i="161"/>
  <c r="AA437" i="161"/>
  <c r="AA405" i="161"/>
  <c r="AA372" i="161"/>
  <c r="AA342" i="161"/>
  <c r="AA315" i="161"/>
  <c r="AA288" i="161"/>
  <c r="AA223" i="161"/>
  <c r="AA115" i="161"/>
  <c r="AA14" i="161"/>
  <c r="Z687" i="161"/>
  <c r="Z656" i="161"/>
  <c r="Z626" i="161"/>
  <c r="Z536" i="161"/>
  <c r="Z467" i="161"/>
  <c r="Z437" i="161"/>
  <c r="Z405" i="161"/>
  <c r="Z372" i="161"/>
  <c r="Z342" i="161"/>
  <c r="Z315" i="161"/>
  <c r="Z288" i="161"/>
  <c r="Z223" i="161"/>
  <c r="Z115" i="161"/>
  <c r="Z14" i="161"/>
  <c r="AA678" i="161"/>
  <c r="AA646" i="161"/>
  <c r="AA616" i="161"/>
  <c r="AA526" i="161"/>
  <c r="AA457" i="161"/>
  <c r="AA427" i="161"/>
  <c r="AA395" i="161"/>
  <c r="AA362" i="161"/>
  <c r="AA332" i="161"/>
  <c r="AA306" i="161"/>
  <c r="AA278" i="161"/>
  <c r="AA213" i="161"/>
  <c r="AA105" i="161"/>
  <c r="AA705" i="161"/>
  <c r="Z678" i="161"/>
  <c r="Z646" i="161"/>
  <c r="Z616" i="161"/>
  <c r="Z526" i="161"/>
  <c r="Z457" i="161"/>
  <c r="Z427" i="161"/>
  <c r="Z395" i="161"/>
  <c r="Z362" i="161"/>
  <c r="Z332" i="161"/>
  <c r="Z306" i="161"/>
  <c r="Z278" i="161"/>
  <c r="Z213" i="161"/>
  <c r="Z105" i="161"/>
  <c r="AA661" i="161"/>
  <c r="AA571" i="161"/>
  <c r="AA441" i="161"/>
  <c r="AA376" i="161"/>
  <c r="AA319" i="161"/>
  <c r="AA261" i="161"/>
  <c r="AA45" i="161"/>
  <c r="Z661" i="161"/>
  <c r="Z571" i="161"/>
  <c r="Z441" i="161"/>
  <c r="Z376" i="161"/>
  <c r="Z319" i="161"/>
  <c r="Z261" i="161"/>
  <c r="Z45" i="161"/>
  <c r="Z705" i="161"/>
  <c r="AA641" i="161"/>
  <c r="AA488" i="161"/>
  <c r="AA421" i="161"/>
  <c r="AA358" i="161"/>
  <c r="AA302" i="161"/>
  <c r="AA172" i="161"/>
  <c r="AA701" i="161"/>
  <c r="Z641" i="161"/>
  <c r="Z488" i="161"/>
  <c r="Z421" i="161"/>
  <c r="Z358" i="161"/>
  <c r="Z302" i="161"/>
  <c r="Z172" i="161"/>
  <c r="Z701" i="161"/>
  <c r="AA631" i="161"/>
  <c r="AA478" i="161"/>
  <c r="AA411" i="161"/>
  <c r="AA348" i="161"/>
  <c r="AA292" i="161"/>
  <c r="AA162" i="161"/>
  <c r="AA692" i="161"/>
  <c r="Z631" i="161"/>
  <c r="Z478" i="161"/>
  <c r="Z411" i="161"/>
  <c r="Z348" i="161"/>
  <c r="Z292" i="161"/>
  <c r="Z162" i="161"/>
  <c r="AA451" i="161"/>
  <c r="AA55" i="161"/>
  <c r="Z451" i="161"/>
  <c r="Z55" i="161"/>
  <c r="AA386" i="161"/>
  <c r="Z386" i="161"/>
  <c r="AA671" i="161"/>
  <c r="AA328" i="161"/>
  <c r="Z671" i="161"/>
  <c r="Z328" i="161"/>
  <c r="AA581" i="161"/>
  <c r="Z581" i="161"/>
  <c r="AA271" i="161"/>
  <c r="Z271" i="161"/>
  <c r="O27" i="29"/>
  <c r="P24" i="29"/>
  <c r="O24" i="29"/>
  <c r="P15" i="29"/>
  <c r="O15" i="29"/>
  <c r="P12" i="29"/>
  <c r="O12" i="29"/>
  <c r="P27" i="29"/>
  <c r="L33" i="121"/>
  <c r="L10" i="121"/>
  <c r="K33" i="121"/>
  <c r="K10" i="121"/>
  <c r="L30" i="121"/>
  <c r="L7" i="121"/>
  <c r="K30" i="121"/>
  <c r="K7" i="121"/>
  <c r="L70" i="121"/>
  <c r="L26" i="121"/>
  <c r="L40" i="121"/>
  <c r="L15" i="121"/>
  <c r="K70" i="121"/>
  <c r="K40" i="121"/>
  <c r="K26" i="121"/>
  <c r="K15" i="121"/>
  <c r="Z13" i="74"/>
  <c r="AA29" i="74"/>
  <c r="Z29" i="74"/>
  <c r="AA26" i="74"/>
  <c r="AA16" i="74"/>
  <c r="Z16" i="74"/>
  <c r="Z26" i="74"/>
  <c r="AA13" i="74"/>
  <c r="X13" i="90"/>
  <c r="Y33" i="90"/>
  <c r="X33" i="90"/>
  <c r="Y29" i="90"/>
  <c r="Y19" i="90"/>
  <c r="X19" i="90"/>
  <c r="X29" i="90"/>
  <c r="Y13" i="90"/>
  <c r="N80" i="108"/>
  <c r="M80" i="108"/>
  <c r="N13" i="108"/>
  <c r="M13" i="108"/>
  <c r="N105" i="108"/>
  <c r="M105" i="108"/>
  <c r="N90" i="108"/>
  <c r="M90" i="108"/>
  <c r="M16" i="201"/>
  <c r="L16" i="201"/>
  <c r="M12" i="201"/>
  <c r="L12" i="201"/>
  <c r="M28" i="201"/>
  <c r="L28" i="201"/>
  <c r="L25" i="201"/>
  <c r="M25" i="201"/>
  <c r="J102" i="36"/>
  <c r="K19" i="36"/>
  <c r="J19" i="36"/>
  <c r="K11" i="36"/>
  <c r="J11" i="36"/>
  <c r="K7" i="36"/>
  <c r="J7" i="36"/>
  <c r="K102" i="36"/>
  <c r="AA7" i="89"/>
  <c r="AB45" i="89"/>
  <c r="AA45" i="89"/>
  <c r="AB19" i="89"/>
  <c r="AB11" i="89"/>
  <c r="AA11" i="89"/>
  <c r="AA19" i="89"/>
  <c r="AB7" i="89"/>
  <c r="N19" i="110"/>
  <c r="M19" i="110"/>
  <c r="N12" i="110"/>
  <c r="M12" i="110"/>
  <c r="J111" i="38"/>
  <c r="K15" i="38"/>
  <c r="J15" i="38"/>
  <c r="K111" i="38"/>
  <c r="J40" i="27"/>
  <c r="I40" i="27"/>
  <c r="J12" i="27"/>
  <c r="I12" i="27"/>
  <c r="BF14" i="79"/>
  <c r="BG51" i="79"/>
  <c r="BF51" i="79"/>
  <c r="BG14" i="79"/>
  <c r="T96" i="154"/>
  <c r="T76" i="154"/>
  <c r="T57" i="154"/>
  <c r="T39" i="154"/>
  <c r="T7" i="154"/>
  <c r="S96" i="154"/>
  <c r="S76" i="154"/>
  <c r="S57" i="154"/>
  <c r="S39" i="154"/>
  <c r="S7" i="154"/>
  <c r="T111" i="154"/>
  <c r="T92" i="154"/>
  <c r="T72" i="154"/>
  <c r="T53" i="154"/>
  <c r="T35" i="154"/>
  <c r="S111" i="154"/>
  <c r="S92" i="154"/>
  <c r="S72" i="154"/>
  <c r="S53" i="154"/>
  <c r="S35" i="154"/>
  <c r="T101" i="154"/>
  <c r="T62" i="154"/>
  <c r="T12" i="154"/>
  <c r="S101" i="154"/>
  <c r="S62" i="154"/>
  <c r="S12" i="154"/>
  <c r="T86" i="154"/>
  <c r="T49" i="154"/>
  <c r="S86" i="154"/>
  <c r="S49" i="154"/>
  <c r="T81" i="154"/>
  <c r="T44" i="154"/>
  <c r="S81" i="154"/>
  <c r="S44" i="154"/>
  <c r="T68" i="154"/>
  <c r="S68" i="154"/>
  <c r="T18" i="154"/>
  <c r="S18" i="154"/>
  <c r="T106" i="154"/>
  <c r="S106" i="154"/>
  <c r="O15" i="127"/>
  <c r="O12" i="127"/>
  <c r="P15" i="127"/>
  <c r="P12" i="127"/>
  <c r="P56" i="127"/>
  <c r="P25" i="127"/>
  <c r="O56" i="127"/>
  <c r="O25" i="127"/>
  <c r="X100" i="117"/>
  <c r="X75" i="117"/>
  <c r="X51" i="117"/>
  <c r="X27" i="117"/>
  <c r="W100" i="117"/>
  <c r="W75" i="117"/>
  <c r="W51" i="117"/>
  <c r="W27" i="117"/>
  <c r="X96" i="117"/>
  <c r="X72" i="117"/>
  <c r="X48" i="117"/>
  <c r="X24" i="117"/>
  <c r="W96" i="117"/>
  <c r="W72" i="117"/>
  <c r="W48" i="117"/>
  <c r="W24" i="117"/>
  <c r="X87" i="117"/>
  <c r="X63" i="117"/>
  <c r="X39" i="117"/>
  <c r="X15" i="117"/>
  <c r="X84" i="117"/>
  <c r="X60" i="117"/>
  <c r="X36" i="117"/>
  <c r="X12" i="117"/>
  <c r="W87" i="117"/>
  <c r="W84" i="117"/>
  <c r="W63" i="117"/>
  <c r="W60" i="117"/>
  <c r="W39" i="117"/>
  <c r="W36" i="117"/>
  <c r="W15" i="117"/>
  <c r="W12" i="117"/>
  <c r="AQ17" i="181"/>
  <c r="AP17" i="181"/>
  <c r="AQ14" i="181"/>
  <c r="AP14" i="181"/>
  <c r="T108" i="158"/>
  <c r="T92" i="158"/>
  <c r="T59" i="158"/>
  <c r="T41" i="158"/>
  <c r="T25" i="158"/>
  <c r="T7" i="158"/>
  <c r="S108" i="158"/>
  <c r="S92" i="158"/>
  <c r="S59" i="158"/>
  <c r="S41" i="158"/>
  <c r="S25" i="158"/>
  <c r="S7" i="158"/>
  <c r="T124" i="158"/>
  <c r="T104" i="158"/>
  <c r="T88" i="158"/>
  <c r="T55" i="158"/>
  <c r="T37" i="158"/>
  <c r="T21" i="158"/>
  <c r="S124" i="158"/>
  <c r="S104" i="158"/>
  <c r="S88" i="158"/>
  <c r="S55" i="158"/>
  <c r="S37" i="158"/>
  <c r="S21" i="158"/>
  <c r="T95" i="158"/>
  <c r="T45" i="158"/>
  <c r="T10" i="158"/>
  <c r="S95" i="158"/>
  <c r="S45" i="158"/>
  <c r="S10" i="158"/>
  <c r="T116" i="158"/>
  <c r="T68" i="158"/>
  <c r="T33" i="158"/>
  <c r="S116" i="158"/>
  <c r="S68" i="158"/>
  <c r="S33" i="158"/>
  <c r="T111" i="158"/>
  <c r="T62" i="158"/>
  <c r="T28" i="158"/>
  <c r="S111" i="158"/>
  <c r="S62" i="158"/>
  <c r="S28" i="158"/>
  <c r="T51" i="158"/>
  <c r="S51" i="158"/>
  <c r="T16" i="158"/>
  <c r="S16" i="158"/>
  <c r="T100" i="158"/>
  <c r="S100" i="158"/>
  <c r="Q69" i="49"/>
  <c r="Q49" i="49"/>
  <c r="Q29" i="49"/>
  <c r="Q10" i="49"/>
  <c r="R66" i="49"/>
  <c r="R46" i="49"/>
  <c r="R26" i="49"/>
  <c r="R7" i="49"/>
  <c r="Q66" i="49"/>
  <c r="Q46" i="49"/>
  <c r="Q26" i="49"/>
  <c r="Q7" i="49"/>
  <c r="R82" i="49"/>
  <c r="R62" i="49"/>
  <c r="R42" i="49"/>
  <c r="R22" i="49"/>
  <c r="Q82" i="49"/>
  <c r="Q62" i="49"/>
  <c r="Q42" i="49"/>
  <c r="Q22" i="49"/>
  <c r="R75" i="49"/>
  <c r="R55" i="49"/>
  <c r="R35" i="49"/>
  <c r="R16" i="49"/>
  <c r="Q75" i="49"/>
  <c r="Q55" i="49"/>
  <c r="Q35" i="49"/>
  <c r="Q16" i="49"/>
  <c r="R69" i="49"/>
  <c r="R49" i="49"/>
  <c r="R29" i="49"/>
  <c r="R10" i="49"/>
  <c r="J34" i="44"/>
  <c r="K13" i="44"/>
  <c r="J13" i="44"/>
  <c r="K59" i="44"/>
  <c r="J59" i="44"/>
  <c r="K44" i="44"/>
  <c r="J44" i="44"/>
  <c r="K34" i="44"/>
  <c r="J29" i="168"/>
  <c r="I29" i="168"/>
  <c r="J13" i="168"/>
  <c r="I13" i="168"/>
  <c r="Q91" i="112"/>
  <c r="Q56" i="112"/>
  <c r="P91" i="112"/>
  <c r="P56" i="112"/>
  <c r="Q87" i="112"/>
  <c r="Q50" i="112"/>
  <c r="P87" i="112"/>
  <c r="P50" i="112"/>
  <c r="Q78" i="112"/>
  <c r="Q40" i="112"/>
  <c r="Q66" i="112"/>
  <c r="P66" i="112"/>
  <c r="P40" i="112"/>
  <c r="Q13" i="112"/>
  <c r="P13" i="112"/>
  <c r="P78" i="112"/>
  <c r="M50" i="133"/>
  <c r="M25" i="133"/>
  <c r="N15" i="133"/>
  <c r="M15" i="133"/>
  <c r="N50" i="133"/>
  <c r="N25" i="133"/>
  <c r="N12" i="133"/>
  <c r="M12" i="133"/>
  <c r="AG12" i="65"/>
  <c r="AH27" i="65"/>
  <c r="AG27" i="65"/>
  <c r="AH24" i="65"/>
  <c r="AH15" i="65"/>
  <c r="AG15" i="65"/>
  <c r="AG24" i="65"/>
  <c r="AH12" i="65"/>
  <c r="J49" i="104"/>
  <c r="J22" i="104"/>
  <c r="K34" i="104"/>
  <c r="J34" i="104"/>
  <c r="K29" i="104"/>
  <c r="K10" i="104"/>
  <c r="K49" i="104"/>
  <c r="K7" i="104"/>
  <c r="J29" i="104"/>
  <c r="J7" i="104"/>
  <c r="K26" i="104"/>
  <c r="J26" i="104"/>
  <c r="K22" i="104"/>
  <c r="K15" i="104"/>
  <c r="J15" i="104"/>
  <c r="J10" i="104"/>
  <c r="J7" i="155"/>
  <c r="I7" i="155"/>
  <c r="J38" i="155"/>
  <c r="I38" i="155"/>
  <c r="J16" i="155"/>
  <c r="I16" i="155"/>
  <c r="J10" i="155"/>
  <c r="I10" i="155"/>
  <c r="Q15" i="46"/>
  <c r="P15" i="46"/>
  <c r="Q12" i="46"/>
  <c r="P12" i="46"/>
  <c r="R27" i="30"/>
  <c r="S24" i="30"/>
  <c r="R24" i="30"/>
  <c r="S15" i="30"/>
  <c r="R15" i="30"/>
  <c r="S12" i="30"/>
  <c r="R12" i="30"/>
  <c r="S27" i="30"/>
  <c r="O27" i="86"/>
  <c r="O7" i="86"/>
  <c r="P59" i="86"/>
  <c r="P23" i="86"/>
  <c r="O59" i="86"/>
  <c r="O23" i="86"/>
  <c r="P39" i="86"/>
  <c r="P17" i="86"/>
  <c r="P33" i="86"/>
  <c r="P12" i="86"/>
  <c r="O33" i="86"/>
  <c r="O12" i="86"/>
  <c r="O39" i="86"/>
  <c r="P27" i="86"/>
  <c r="O17" i="86"/>
  <c r="P7" i="86"/>
  <c r="Q12" i="182"/>
  <c r="P12" i="182"/>
  <c r="P15" i="182"/>
  <c r="Q15" i="182"/>
  <c r="L72" i="198"/>
  <c r="L48" i="198"/>
  <c r="K72" i="198"/>
  <c r="K48" i="198"/>
  <c r="L69" i="198"/>
  <c r="L45" i="198"/>
  <c r="K69" i="198"/>
  <c r="K45" i="198"/>
  <c r="L60" i="198"/>
  <c r="L36" i="198"/>
  <c r="K60" i="198"/>
  <c r="K36" i="198"/>
  <c r="K57" i="198"/>
  <c r="K13" i="198"/>
  <c r="L57" i="198"/>
  <c r="L13" i="198"/>
  <c r="AE12" i="67"/>
  <c r="AF27" i="67"/>
  <c r="AE27" i="67"/>
  <c r="AF24" i="67"/>
  <c r="AF15" i="67"/>
  <c r="AE15" i="67"/>
  <c r="AE24" i="67"/>
  <c r="AF12" i="67"/>
  <c r="O65" i="102"/>
  <c r="P10" i="102"/>
  <c r="P65" i="102"/>
  <c r="P16" i="102"/>
  <c r="O16" i="102"/>
  <c r="O10" i="102"/>
  <c r="P7" i="102"/>
  <c r="O7" i="102"/>
  <c r="AF15" i="75"/>
  <c r="AG54" i="75"/>
  <c r="AF54" i="75"/>
  <c r="AG15" i="75"/>
  <c r="O151" i="142"/>
  <c r="O129" i="142"/>
  <c r="O66" i="142"/>
  <c r="P143" i="142"/>
  <c r="P82" i="142"/>
  <c r="P19" i="142"/>
  <c r="O143" i="142"/>
  <c r="O82" i="142"/>
  <c r="O19" i="142"/>
  <c r="P138" i="142"/>
  <c r="P75" i="142"/>
  <c r="P12" i="142"/>
  <c r="O138" i="142"/>
  <c r="O75" i="142"/>
  <c r="O12" i="142"/>
  <c r="P70" i="142"/>
  <c r="O70" i="142"/>
  <c r="P66" i="142"/>
  <c r="P7" i="142"/>
  <c r="P151" i="142"/>
  <c r="O7" i="142"/>
  <c r="P133" i="142"/>
  <c r="O133" i="142"/>
  <c r="P129" i="142"/>
  <c r="L37" i="170"/>
  <c r="L15" i="170"/>
  <c r="K37" i="170"/>
  <c r="K15" i="170"/>
  <c r="L32" i="170"/>
  <c r="L10" i="170"/>
  <c r="K32" i="170"/>
  <c r="K10" i="170"/>
  <c r="K25" i="170"/>
  <c r="L7" i="170"/>
  <c r="K7" i="170"/>
  <c r="L47" i="170"/>
  <c r="K47" i="170"/>
  <c r="L29" i="170"/>
  <c r="K29" i="170"/>
  <c r="L25" i="170"/>
  <c r="K18" i="50"/>
  <c r="L13" i="50"/>
  <c r="K13" i="50"/>
  <c r="L34" i="50"/>
  <c r="K34" i="50"/>
  <c r="L28" i="50"/>
  <c r="K28" i="50"/>
  <c r="L18" i="50"/>
  <c r="AH24" i="178"/>
  <c r="AG24" i="178"/>
  <c r="AH15" i="178"/>
  <c r="AG15" i="178"/>
  <c r="AG27" i="178"/>
  <c r="AH12" i="178"/>
  <c r="AG12" i="178"/>
  <c r="AH27" i="178"/>
  <c r="O145" i="140"/>
  <c r="O125" i="140"/>
  <c r="O64" i="140"/>
  <c r="P137" i="140"/>
  <c r="P78" i="140"/>
  <c r="P17" i="140"/>
  <c r="O137" i="140"/>
  <c r="O78" i="140"/>
  <c r="O17" i="140"/>
  <c r="P132" i="140"/>
  <c r="P71" i="140"/>
  <c r="P10" i="140"/>
  <c r="O132" i="140"/>
  <c r="O71" i="140"/>
  <c r="O10" i="140"/>
  <c r="P7" i="140"/>
  <c r="P145" i="140"/>
  <c r="O7" i="140"/>
  <c r="P129" i="140"/>
  <c r="O129" i="140"/>
  <c r="P125" i="140"/>
  <c r="P68" i="140"/>
  <c r="O68" i="140"/>
  <c r="P64" i="140"/>
  <c r="T118" i="160"/>
  <c r="T100" i="160"/>
  <c r="T65" i="160"/>
  <c r="T45" i="160"/>
  <c r="T27" i="160"/>
  <c r="T7" i="160"/>
  <c r="S118" i="160"/>
  <c r="S100" i="160"/>
  <c r="S65" i="160"/>
  <c r="S45" i="160"/>
  <c r="S27" i="160"/>
  <c r="S7" i="160"/>
  <c r="T136" i="160"/>
  <c r="T114" i="160"/>
  <c r="T96" i="160"/>
  <c r="T61" i="160"/>
  <c r="T41" i="160"/>
  <c r="T23" i="160"/>
  <c r="S136" i="160"/>
  <c r="S114" i="160"/>
  <c r="S96" i="160"/>
  <c r="S61" i="160"/>
  <c r="S41" i="160"/>
  <c r="S23" i="160"/>
  <c r="T105" i="160"/>
  <c r="T51" i="160"/>
  <c r="T12" i="160"/>
  <c r="S105" i="160"/>
  <c r="S51" i="160"/>
  <c r="S12" i="160"/>
  <c r="T128" i="160"/>
  <c r="T76" i="160"/>
  <c r="T37" i="160"/>
  <c r="S128" i="160"/>
  <c r="S76" i="160"/>
  <c r="S37" i="160"/>
  <c r="T123" i="160"/>
  <c r="T70" i="160"/>
  <c r="T32" i="160"/>
  <c r="S123" i="160"/>
  <c r="S70" i="160"/>
  <c r="S32" i="160"/>
  <c r="T110" i="160"/>
  <c r="S110" i="160"/>
  <c r="T57" i="160"/>
  <c r="S57" i="160"/>
  <c r="T18" i="160"/>
  <c r="S18" i="160"/>
  <c r="AD12" i="56"/>
  <c r="AE27" i="56"/>
  <c r="AD27" i="56"/>
  <c r="AE24" i="56"/>
  <c r="AE15" i="56"/>
  <c r="AD15" i="56"/>
  <c r="AD24" i="56"/>
  <c r="AE12" i="56"/>
  <c r="S172" i="149"/>
  <c r="S155" i="149"/>
  <c r="S135" i="149"/>
  <c r="S118" i="149"/>
  <c r="S102" i="149"/>
  <c r="S85" i="149"/>
  <c r="S64" i="149"/>
  <c r="S47" i="149"/>
  <c r="S17" i="149"/>
  <c r="T167" i="149"/>
  <c r="T150" i="149"/>
  <c r="T130" i="149"/>
  <c r="T113" i="149"/>
  <c r="T96" i="149"/>
  <c r="T80" i="149"/>
  <c r="T58" i="149"/>
  <c r="T42" i="149"/>
  <c r="T10" i="149"/>
  <c r="S164" i="149"/>
  <c r="S147" i="149"/>
  <c r="S127" i="149"/>
  <c r="S110" i="149"/>
  <c r="S93" i="149"/>
  <c r="S77" i="149"/>
  <c r="S55" i="149"/>
  <c r="S39" i="149"/>
  <c r="S7" i="149"/>
  <c r="T172" i="149"/>
  <c r="T143" i="149"/>
  <c r="S113" i="149"/>
  <c r="S89" i="149"/>
  <c r="T55" i="149"/>
  <c r="T17" i="149"/>
  <c r="S167" i="149"/>
  <c r="S143" i="149"/>
  <c r="T110" i="149"/>
  <c r="T85" i="149"/>
  <c r="T51" i="149"/>
  <c r="S10" i="149"/>
  <c r="T164" i="149"/>
  <c r="T135" i="149"/>
  <c r="T106" i="149"/>
  <c r="S80" i="149"/>
  <c r="S51" i="149"/>
  <c r="T7" i="149"/>
  <c r="T160" i="149"/>
  <c r="S130" i="149"/>
  <c r="S106" i="149"/>
  <c r="T77" i="149"/>
  <c r="T47" i="149"/>
  <c r="S160" i="149"/>
  <c r="T127" i="149"/>
  <c r="T102" i="149"/>
  <c r="T73" i="149"/>
  <c r="S42" i="149"/>
  <c r="T155" i="149"/>
  <c r="T123" i="149"/>
  <c r="S96" i="149"/>
  <c r="S73" i="149"/>
  <c r="T39" i="149"/>
  <c r="T93" i="149"/>
  <c r="T89" i="149"/>
  <c r="T182" i="149"/>
  <c r="T64" i="149"/>
  <c r="S182" i="149"/>
  <c r="S58" i="149"/>
  <c r="S150" i="149"/>
  <c r="T35" i="149"/>
  <c r="T147" i="149"/>
  <c r="S35" i="149"/>
  <c r="S123" i="149"/>
  <c r="T118" i="149"/>
  <c r="S190" i="151"/>
  <c r="S171" i="151"/>
  <c r="S149" i="151"/>
  <c r="S130" i="151"/>
  <c r="S112" i="151"/>
  <c r="S93" i="151"/>
  <c r="S70" i="151"/>
  <c r="S51" i="151"/>
  <c r="S19" i="151"/>
  <c r="T185" i="151"/>
  <c r="T166" i="151"/>
  <c r="T144" i="151"/>
  <c r="T125" i="151"/>
  <c r="T106" i="151"/>
  <c r="T88" i="151"/>
  <c r="T64" i="151"/>
  <c r="T46" i="151"/>
  <c r="T12" i="151"/>
  <c r="S185" i="151"/>
  <c r="S166" i="151"/>
  <c r="S144" i="151"/>
  <c r="S125" i="151"/>
  <c r="S106" i="151"/>
  <c r="S88" i="151"/>
  <c r="S64" i="151"/>
  <c r="S46" i="151"/>
  <c r="S12" i="151"/>
  <c r="T180" i="151"/>
  <c r="T161" i="151"/>
  <c r="T139" i="151"/>
  <c r="S180" i="151"/>
  <c r="S161" i="151"/>
  <c r="S139" i="151"/>
  <c r="S120" i="151"/>
  <c r="S101" i="151"/>
  <c r="S83" i="151"/>
  <c r="S59" i="151"/>
  <c r="S41" i="151"/>
  <c r="S7" i="151"/>
  <c r="T200" i="151"/>
  <c r="T176" i="151"/>
  <c r="T157" i="151"/>
  <c r="S157" i="151"/>
  <c r="T112" i="151"/>
  <c r="T70" i="151"/>
  <c r="T19" i="151"/>
  <c r="T149" i="151"/>
  <c r="T101" i="151"/>
  <c r="T59" i="151"/>
  <c r="T7" i="151"/>
  <c r="T135" i="151"/>
  <c r="T97" i="151"/>
  <c r="T55" i="151"/>
  <c r="S135" i="151"/>
  <c r="S97" i="151"/>
  <c r="S55" i="151"/>
  <c r="S200" i="151"/>
  <c r="T130" i="151"/>
  <c r="T93" i="151"/>
  <c r="T51" i="151"/>
  <c r="T190" i="151"/>
  <c r="T120" i="151"/>
  <c r="T83" i="151"/>
  <c r="T41" i="151"/>
  <c r="S176" i="151"/>
  <c r="T171" i="151"/>
  <c r="T116" i="151"/>
  <c r="S116" i="151"/>
  <c r="T79" i="151"/>
  <c r="S79" i="151"/>
  <c r="T37" i="151"/>
  <c r="S37" i="151"/>
  <c r="O150" i="115"/>
  <c r="O114" i="115"/>
  <c r="O83" i="115"/>
  <c r="O47" i="115"/>
  <c r="N150" i="115"/>
  <c r="N114" i="115"/>
  <c r="N83" i="115"/>
  <c r="N47" i="115"/>
  <c r="O143" i="115"/>
  <c r="O110" i="115"/>
  <c r="O70" i="115"/>
  <c r="O39" i="115"/>
  <c r="N143" i="115"/>
  <c r="N110" i="115"/>
  <c r="N70" i="115"/>
  <c r="N39" i="115"/>
  <c r="O133" i="115"/>
  <c r="O101" i="115"/>
  <c r="O60" i="115"/>
  <c r="O29" i="115"/>
  <c r="O124" i="115"/>
  <c r="O93" i="115"/>
  <c r="O56" i="115"/>
  <c r="O13" i="115"/>
  <c r="N29" i="115"/>
  <c r="N13" i="115"/>
  <c r="N133" i="115"/>
  <c r="N124" i="115"/>
  <c r="N101" i="115"/>
  <c r="N93" i="115"/>
  <c r="N60" i="115"/>
  <c r="N56" i="115"/>
  <c r="AH12" i="60"/>
  <c r="AI27" i="60"/>
  <c r="AH27" i="60"/>
  <c r="AI24" i="60"/>
  <c r="AI15" i="60"/>
  <c r="AH15" i="60"/>
  <c r="AH24" i="60"/>
  <c r="AI12" i="60"/>
  <c r="Q12" i="82"/>
  <c r="R15" i="82"/>
  <c r="Q15" i="82"/>
  <c r="R12" i="82"/>
  <c r="I17" i="139"/>
  <c r="J12" i="139"/>
  <c r="I12" i="139"/>
  <c r="J17" i="139"/>
  <c r="M91" i="132"/>
  <c r="M55" i="132"/>
  <c r="M15" i="132"/>
  <c r="M82" i="132"/>
  <c r="M51" i="132"/>
  <c r="M12" i="132"/>
  <c r="N72" i="132"/>
  <c r="M72" i="132"/>
  <c r="M42" i="132"/>
  <c r="N65" i="132"/>
  <c r="N12" i="132"/>
  <c r="M65" i="132"/>
  <c r="N55" i="132"/>
  <c r="N51" i="132"/>
  <c r="N42" i="132"/>
  <c r="N91" i="132"/>
  <c r="M25" i="132"/>
  <c r="N82" i="132"/>
  <c r="N25" i="132"/>
  <c r="N15" i="132"/>
  <c r="AD12" i="186"/>
  <c r="AC12" i="186"/>
  <c r="AC15" i="186"/>
  <c r="AD15" i="186"/>
  <c r="AC13" i="180"/>
  <c r="AB13" i="180"/>
  <c r="AC16" i="180"/>
  <c r="AB16" i="180"/>
  <c r="Y15" i="202"/>
  <c r="X15" i="202"/>
  <c r="Y12" i="202"/>
  <c r="X12" i="202"/>
  <c r="Z12" i="63"/>
  <c r="AA15" i="63"/>
  <c r="Z15" i="63"/>
  <c r="AA12" i="63"/>
  <c r="X24" i="176"/>
  <c r="W24" i="176"/>
  <c r="X15" i="176"/>
  <c r="W15" i="176"/>
  <c r="W27" i="176"/>
  <c r="X12" i="176"/>
  <c r="W12" i="176"/>
  <c r="X27" i="176"/>
  <c r="S16" i="200"/>
  <c r="R16" i="200"/>
  <c r="S12" i="200"/>
  <c r="R12" i="200"/>
  <c r="S28" i="200"/>
  <c r="R28" i="200"/>
  <c r="R25" i="200"/>
  <c r="S25" i="200"/>
</calcChain>
</file>

<file path=xl/sharedStrings.xml><?xml version="1.0" encoding="utf-8"?>
<sst xmlns="http://schemas.openxmlformats.org/spreadsheetml/2006/main" count="28565" uniqueCount="6109">
  <si>
    <t>Version:</t>
  </si>
  <si>
    <t>Not applicable/All geographical areas</t>
  </si>
  <si>
    <t>http://standards.iso.org/iso/17442</t>
  </si>
  <si>
    <t>01</t>
  </si>
  <si>
    <t>EUR</t>
  </si>
  <si>
    <t>AFGHANISTAN</t>
  </si>
  <si>
    <t>02</t>
  </si>
  <si>
    <t>AED</t>
  </si>
  <si>
    <t xml:space="preserve"> </t>
  </si>
  <si>
    <t>ALBANIA</t>
  </si>
  <si>
    <t>04</t>
  </si>
  <si>
    <t>AFN</t>
  </si>
  <si>
    <t>ALGERIA</t>
  </si>
  <si>
    <t>05</t>
  </si>
  <si>
    <t>ALL</t>
  </si>
  <si>
    <t>AMERICAN SAMOA</t>
  </si>
  <si>
    <t>07</t>
  </si>
  <si>
    <t>AMD</t>
  </si>
  <si>
    <t>ANDORRA</t>
  </si>
  <si>
    <t>08</t>
  </si>
  <si>
    <t>ANG</t>
  </si>
  <si>
    <t>ANGOLA</t>
  </si>
  <si>
    <t>10</t>
  </si>
  <si>
    <t>AOA</t>
  </si>
  <si>
    <t>General Data</t>
  </si>
  <si>
    <t>/General data label{B}</t>
  </si>
  <si>
    <t>/General data value{E}</t>
  </si>
  <si>
    <t>ANGUILLA</t>
  </si>
  <si>
    <t>11</t>
  </si>
  <si>
    <t>ARS</t>
  </si>
  <si>
    <t>ANTARCTICA</t>
  </si>
  <si>
    <t>12</t>
  </si>
  <si>
    <t>AUD</t>
  </si>
  <si>
    <t>*</t>
  </si>
  <si>
    <t>Identifier</t>
  </si>
  <si>
    <t>:</t>
  </si>
  <si>
    <t>ANTIGUA AND BARBUDA</t>
  </si>
  <si>
    <t>13</t>
  </si>
  <si>
    <t>AWG</t>
  </si>
  <si>
    <t>ARGENTINA</t>
  </si>
  <si>
    <t>14</t>
  </si>
  <si>
    <t>AZN</t>
  </si>
  <si>
    <t>Period start date</t>
  </si>
  <si>
    <t>ARMENIA</t>
  </si>
  <si>
    <t>15</t>
  </si>
  <si>
    <t>BAM</t>
  </si>
  <si>
    <t>ARUBA</t>
  </si>
  <si>
    <t>16</t>
  </si>
  <si>
    <t>BBD</t>
  </si>
  <si>
    <t>Period end date</t>
  </si>
  <si>
    <t>AUSTRALIA</t>
  </si>
  <si>
    <t>17</t>
  </si>
  <si>
    <t>BDT</t>
  </si>
  <si>
    <t>AUSTRIA</t>
  </si>
  <si>
    <t>18</t>
  </si>
  <si>
    <t>BGN</t>
  </si>
  <si>
    <t>Country</t>
  </si>
  <si>
    <t>AZERBAIJAN</t>
  </si>
  <si>
    <t>19</t>
  </si>
  <si>
    <t>BHD</t>
  </si>
  <si>
    <t>BAHAMAS</t>
  </si>
  <si>
    <t>20</t>
  </si>
  <si>
    <t>BIF</t>
  </si>
  <si>
    <t>Filing Currency</t>
  </si>
  <si>
    <t>BAHRAIN</t>
  </si>
  <si>
    <t>All</t>
  </si>
  <si>
    <t>BMD</t>
  </si>
  <si>
    <t>BANGLADESH</t>
  </si>
  <si>
    <t>BND</t>
  </si>
  <si>
    <t>Taxonomy</t>
  </si>
  <si>
    <t>BARBADOS</t>
  </si>
  <si>
    <t>BOB</t>
  </si>
  <si>
    <t>BELARUS</t>
  </si>
  <si>
    <t>BRL</t>
  </si>
  <si>
    <t>Module</t>
  </si>
  <si>
    <t>BELGIUM</t>
  </si>
  <si>
    <t>http://www.swift.com</t>
  </si>
  <si>
    <t>BSD</t>
  </si>
  <si>
    <t>BELIZE</t>
  </si>
  <si>
    <t>BTN</t>
  </si>
  <si>
    <t>BENIN</t>
  </si>
  <si>
    <t>BWP</t>
  </si>
  <si>
    <t>Advanced Requirements</t>
  </si>
  <si>
    <t>BERMUDA</t>
  </si>
  <si>
    <t>BYN</t>
  </si>
  <si>
    <t>BHUTAN</t>
  </si>
  <si>
    <t>BZD</t>
  </si>
  <si>
    <t>Identifier scheme</t>
  </si>
  <si>
    <t>BOLIVIA, PLURINATIONAL STATE OF</t>
  </si>
  <si>
    <t>CAD</t>
  </si>
  <si>
    <t>BRAZIL</t>
  </si>
  <si>
    <t>COP</t>
  </si>
  <si>
    <t>Monetary decimals</t>
  </si>
  <si>
    <t>BRITISH INDIAN OCEAN TERRITORY</t>
  </si>
  <si>
    <t>CRC</t>
  </si>
  <si>
    <t>BRUNEI DARUSSALAM</t>
  </si>
  <si>
    <t>CUC</t>
  </si>
  <si>
    <t>Monetary precision</t>
  </si>
  <si>
    <t>BULGARIA</t>
  </si>
  <si>
    <t>CUP</t>
  </si>
  <si>
    <t>BURKINA FASO</t>
  </si>
  <si>
    <t>CVE</t>
  </si>
  <si>
    <t>Pure decimals</t>
  </si>
  <si>
    <t>BURUNDI</t>
  </si>
  <si>
    <t>CZK</t>
  </si>
  <si>
    <t>CAMBODIA</t>
  </si>
  <si>
    <t>DJF</t>
  </si>
  <si>
    <t>Pure precision</t>
  </si>
  <si>
    <r>
      <rPr>
        <b/>
        <sz val="12"/>
        <color rgb="FF14618A"/>
        <rFont val="Calibri"/>
        <family val="2"/>
        <scheme val="minor"/>
      </rPr>
      <t>#XBRL</t>
    </r>
    <r>
      <rPr>
        <sz val="12"/>
        <color rgb="FF14618A"/>
        <rFont val="Calibri"/>
        <family val="2"/>
        <scheme val="minor"/>
      </rPr>
      <t xml:space="preserve"> made simple!</t>
    </r>
  </si>
  <si>
    <t>CAMEROON</t>
  </si>
  <si>
    <t>DKK</t>
  </si>
  <si>
    <t>CANADA</t>
  </si>
  <si>
    <t>DOP</t>
  </si>
  <si>
    <t>Concatenate Errors</t>
  </si>
  <si>
    <t>CAPE VERDE</t>
  </si>
  <si>
    <t>DZD</t>
  </si>
  <si>
    <t>Additional Requirements (Country specific)</t>
  </si>
  <si>
    <t>CAYMAN ISLANDS</t>
  </si>
  <si>
    <t>EGP</t>
  </si>
  <si>
    <t>CENTRAL AFRICAN REPUBLIC</t>
  </si>
  <si>
    <t>ERN</t>
  </si>
  <si>
    <t>Post Parsing features</t>
  </si>
  <si>
    <t>CHAD</t>
  </si>
  <si>
    <t>ETB</t>
  </si>
  <si>
    <t>CHILE</t>
  </si>
  <si>
    <t>Reporter e-mail</t>
  </si>
  <si>
    <t>CHINA</t>
  </si>
  <si>
    <t>FJD</t>
  </si>
  <si>
    <t>CHRISTMAS ISLAND</t>
  </si>
  <si>
    <t>FKP</t>
  </si>
  <si>
    <t>Declarer Type</t>
  </si>
  <si>
    <t>COCOS (KEELING) ISLANDS</t>
  </si>
  <si>
    <t>GBP</t>
  </si>
  <si>
    <t>COLOMBIA</t>
  </si>
  <si>
    <t>GEL</t>
  </si>
  <si>
    <t>Domain</t>
  </si>
  <si>
    <t>COMOROS</t>
  </si>
  <si>
    <t>GGP</t>
  </si>
  <si>
    <t>CONGO</t>
  </si>
  <si>
    <t>GHS</t>
  </si>
  <si>
    <t>ParsePort-specific parameters:</t>
  </si>
  <si>
    <t>SII_</t>
  </si>
  <si>
    <t>CONGO, THE DEMOCRATIC REPUBLIC OF THE</t>
  </si>
  <si>
    <t>GIP</t>
  </si>
  <si>
    <t>Compress contexts</t>
  </si>
  <si>
    <t>COOK ISLANDS</t>
  </si>
  <si>
    <t>GMD</t>
  </si>
  <si>
    <t>Language</t>
  </si>
  <si>
    <t>EN</t>
  </si>
  <si>
    <t>COSTA RICA</t>
  </si>
  <si>
    <t>GNF</t>
  </si>
  <si>
    <t>Debug mode</t>
  </si>
  <si>
    <t>CÔTE D'IVOIRE</t>
  </si>
  <si>
    <t>GTQ</t>
  </si>
  <si>
    <t>LookupValue fallback</t>
  </si>
  <si>
    <t>CROATIA</t>
  </si>
  <si>
    <t>GYD</t>
  </si>
  <si>
    <t>//General data label{B}</t>
  </si>
  <si>
    <t>//General data value{E}</t>
  </si>
  <si>
    <t>CUBA</t>
  </si>
  <si>
    <t>HKD</t>
  </si>
  <si>
    <t>CURAÇAO</t>
  </si>
  <si>
    <t>HNL</t>
  </si>
  <si>
    <t>CYPRUS</t>
  </si>
  <si>
    <t>HRK</t>
  </si>
  <si>
    <t>CZECH REPUBLIC</t>
  </si>
  <si>
    <t>HTG</t>
  </si>
  <si>
    <t>DENMARK</t>
  </si>
  <si>
    <t>HUF</t>
  </si>
  <si>
    <t>DJIBOUTI</t>
  </si>
  <si>
    <t>IDR</t>
  </si>
  <si>
    <t>DOMINICA</t>
  </si>
  <si>
    <t>ILS</t>
  </si>
  <si>
    <t>DOMINICAN REPUBLIC</t>
  </si>
  <si>
    <t>IMP</t>
  </si>
  <si>
    <t>ECUADOR</t>
  </si>
  <si>
    <t>INR</t>
  </si>
  <si>
    <t>EGYPT</t>
  </si>
  <si>
    <t>IQD</t>
  </si>
  <si>
    <t>EL SALVADOR</t>
  </si>
  <si>
    <t>IRR</t>
  </si>
  <si>
    <t>EQUATORIAL GUINEA</t>
  </si>
  <si>
    <t>ISK</t>
  </si>
  <si>
    <t>ERITREA</t>
  </si>
  <si>
    <t>JEP</t>
  </si>
  <si>
    <t>ESTONIA</t>
  </si>
  <si>
    <t>JMD</t>
  </si>
  <si>
    <t>ETHIOPIA</t>
  </si>
  <si>
    <t>JOD</t>
  </si>
  <si>
    <t>FALKLAND ISLANDS (MALVINAS)</t>
  </si>
  <si>
    <t>JPY</t>
  </si>
  <si>
    <t>FAROE ISLANDS</t>
  </si>
  <si>
    <t>KES</t>
  </si>
  <si>
    <t>FIJI</t>
  </si>
  <si>
    <t>KGS</t>
  </si>
  <si>
    <t>FINLAND</t>
  </si>
  <si>
    <t>KHR</t>
  </si>
  <si>
    <t>FRANCE</t>
  </si>
  <si>
    <t>KMF</t>
  </si>
  <si>
    <t>FRENCH GUIANA</t>
  </si>
  <si>
    <t>KPW</t>
  </si>
  <si>
    <t>FRENCH POLYNESIA</t>
  </si>
  <si>
    <t>KRW</t>
  </si>
  <si>
    <t>FRENCH SOUTHERN TERRITORIES</t>
  </si>
  <si>
    <t>KWD</t>
  </si>
  <si>
    <t>GABON</t>
  </si>
  <si>
    <t>KYD</t>
  </si>
  <si>
    <t>GAMBIA</t>
  </si>
  <si>
    <t>KZT</t>
  </si>
  <si>
    <t>GEORGIA</t>
  </si>
  <si>
    <t>LAK</t>
  </si>
  <si>
    <t>GERMANY</t>
  </si>
  <si>
    <t>LBP</t>
  </si>
  <si>
    <t>GHANA</t>
  </si>
  <si>
    <t>LKR</t>
  </si>
  <si>
    <t>GIBRALTAR</t>
  </si>
  <si>
    <t>LRD</t>
  </si>
  <si>
    <t>GREECE</t>
  </si>
  <si>
    <t>LSL</t>
  </si>
  <si>
    <t>GREENLAND</t>
  </si>
  <si>
    <t>LYD</t>
  </si>
  <si>
    <t>GRENADA</t>
  </si>
  <si>
    <t>MAD</t>
  </si>
  <si>
    <t>GUADELOUPE</t>
  </si>
  <si>
    <t>MDL</t>
  </si>
  <si>
    <t>GUAM</t>
  </si>
  <si>
    <t>MGA</t>
  </si>
  <si>
    <t>GUATEMALA</t>
  </si>
  <si>
    <t>MKD</t>
  </si>
  <si>
    <t>GUERNSEY</t>
  </si>
  <si>
    <t>MMK</t>
  </si>
  <si>
    <t>GUINEA</t>
  </si>
  <si>
    <t>MNT</t>
  </si>
  <si>
    <t>GUINEA-BISSAU</t>
  </si>
  <si>
    <t>MOP</t>
  </si>
  <si>
    <t>GUYANA</t>
  </si>
  <si>
    <t>MRO</t>
  </si>
  <si>
    <t>HAITI</t>
  </si>
  <si>
    <t>MUR</t>
  </si>
  <si>
    <t>HEARD ISLAND AND MCDONALD ISLANDS</t>
  </si>
  <si>
    <t>MVR</t>
  </si>
  <si>
    <t>HOLY SEE (VATICAN CITY STATE)</t>
  </si>
  <si>
    <t>MWK</t>
  </si>
  <si>
    <t>HONDURAS</t>
  </si>
  <si>
    <t>MXN</t>
  </si>
  <si>
    <t>HONG KONG</t>
  </si>
  <si>
    <t>MYR</t>
  </si>
  <si>
    <t>HUNGARY</t>
  </si>
  <si>
    <t>MZN</t>
  </si>
  <si>
    <t>ICELAND</t>
  </si>
  <si>
    <t>NAD</t>
  </si>
  <si>
    <t>INDIA</t>
  </si>
  <si>
    <t>NGN</t>
  </si>
  <si>
    <t>INDONESIA</t>
  </si>
  <si>
    <t>NIO</t>
  </si>
  <si>
    <t>IRAN, ISLAMIC REPUBLIC OF</t>
  </si>
  <si>
    <t>NOK</t>
  </si>
  <si>
    <t>IRAQ</t>
  </si>
  <si>
    <t>NPR</t>
  </si>
  <si>
    <t>IRELAND</t>
  </si>
  <si>
    <t>NZD</t>
  </si>
  <si>
    <t>ISLE OF MAN</t>
  </si>
  <si>
    <t>OMR</t>
  </si>
  <si>
    <t>ISRAEL</t>
  </si>
  <si>
    <t>PAB</t>
  </si>
  <si>
    <t>ITALY</t>
  </si>
  <si>
    <t>PEN</t>
  </si>
  <si>
    <t>JAMAICA</t>
  </si>
  <si>
    <t>PGK</t>
  </si>
  <si>
    <t>JAPAN</t>
  </si>
  <si>
    <t>PHP</t>
  </si>
  <si>
    <t>JERSEY</t>
  </si>
  <si>
    <t>PKR</t>
  </si>
  <si>
    <t>JORDAN</t>
  </si>
  <si>
    <t>PLN</t>
  </si>
  <si>
    <t>KAZAKHSTAN</t>
  </si>
  <si>
    <t>PYG</t>
  </si>
  <si>
    <t>KENYA</t>
  </si>
  <si>
    <t>QAR</t>
  </si>
  <si>
    <t>KIRIBATI</t>
  </si>
  <si>
    <t>RON</t>
  </si>
  <si>
    <t>KOREA, DEMOCRATIC PEOPLE'S REPUBLIC OF</t>
  </si>
  <si>
    <t>RSD</t>
  </si>
  <si>
    <t>KOREA, REPUBLIC OF</t>
  </si>
  <si>
    <t>RUB</t>
  </si>
  <si>
    <t>KUWAIT</t>
  </si>
  <si>
    <t>RWF</t>
  </si>
  <si>
    <t>KYRGYZSTAN</t>
  </si>
  <si>
    <t>SAR</t>
  </si>
  <si>
    <t>LAO PEOPLE'S DEMOCRATIC REPUBLIC</t>
  </si>
  <si>
    <t>SBD</t>
  </si>
  <si>
    <t>LATVIA</t>
  </si>
  <si>
    <t>SCR</t>
  </si>
  <si>
    <t>LEBANON</t>
  </si>
  <si>
    <t>SDG</t>
  </si>
  <si>
    <t>LESOTHO</t>
  </si>
  <si>
    <t>SEK</t>
  </si>
  <si>
    <t>LIBERIA</t>
  </si>
  <si>
    <t>SGD</t>
  </si>
  <si>
    <t>LIBYA</t>
  </si>
  <si>
    <t>SHP</t>
  </si>
  <si>
    <t>LIECHTENSTEIN</t>
  </si>
  <si>
    <t>SLL</t>
  </si>
  <si>
    <t>LITHUANIA</t>
  </si>
  <si>
    <t>SOS</t>
  </si>
  <si>
    <t>LUXEMBOURG</t>
  </si>
  <si>
    <t>http://www.cssf.lu</t>
  </si>
  <si>
    <t>SPL</t>
  </si>
  <si>
    <t>MACAO</t>
  </si>
  <si>
    <t>SRD</t>
  </si>
  <si>
    <t>MACEDONIA, THE FORMER YUGOSLAV REPUBLIC OF</t>
  </si>
  <si>
    <t>STD</t>
  </si>
  <si>
    <t>MADAGASCAR</t>
  </si>
  <si>
    <t>SVC</t>
  </si>
  <si>
    <t>MALAWI</t>
  </si>
  <si>
    <t>SYP</t>
  </si>
  <si>
    <t>MALAYSIA</t>
  </si>
  <si>
    <t>SZL</t>
  </si>
  <si>
    <t>MALDIVES</t>
  </si>
  <si>
    <t>THB</t>
  </si>
  <si>
    <t>MALI</t>
  </si>
  <si>
    <t>TJS</t>
  </si>
  <si>
    <t>MALTA</t>
  </si>
  <si>
    <t>TMT</t>
  </si>
  <si>
    <t>MARSHALL ISLANDS</t>
  </si>
  <si>
    <t>TND</t>
  </si>
  <si>
    <t>MARTINIQUE</t>
  </si>
  <si>
    <t>TOP</t>
  </si>
  <si>
    <t>MAURITANIA</t>
  </si>
  <si>
    <t>TRY</t>
  </si>
  <si>
    <t>MAURITIUS</t>
  </si>
  <si>
    <t>TTD</t>
  </si>
  <si>
    <t>MAYOTTE</t>
  </si>
  <si>
    <t>TVD</t>
  </si>
  <si>
    <t>MEXICO</t>
  </si>
  <si>
    <t>TWD</t>
  </si>
  <si>
    <t>MICRONESIA, FEDERATED STATES OF</t>
  </si>
  <si>
    <t>TZS</t>
  </si>
  <si>
    <t>MOLDOVA, REPUBLIC OF</t>
  </si>
  <si>
    <t>UAH</t>
  </si>
  <si>
    <t>MONACO</t>
  </si>
  <si>
    <t>UGX</t>
  </si>
  <si>
    <t>MONGOLIA</t>
  </si>
  <si>
    <t>USD</t>
  </si>
  <si>
    <t>MONTENEGRO</t>
  </si>
  <si>
    <t>UYU</t>
  </si>
  <si>
    <t>MONTSERRAT</t>
  </si>
  <si>
    <t>UZS</t>
  </si>
  <si>
    <t>MOROCCO</t>
  </si>
  <si>
    <t>VEF</t>
  </si>
  <si>
    <t>MOZAMBIQUE</t>
  </si>
  <si>
    <t>VND</t>
  </si>
  <si>
    <t>MYANMAR</t>
  </si>
  <si>
    <t>VUV</t>
  </si>
  <si>
    <t>NAMIBIA</t>
  </si>
  <si>
    <t>WST</t>
  </si>
  <si>
    <t>NAURU</t>
  </si>
  <si>
    <t>XAF</t>
  </si>
  <si>
    <t>NEPAL</t>
  </si>
  <si>
    <t>XCD</t>
  </si>
  <si>
    <t>NETHERLANDS</t>
  </si>
  <si>
    <t>XDR</t>
  </si>
  <si>
    <t>NEW CALEDONIA</t>
  </si>
  <si>
    <t>XOF</t>
  </si>
  <si>
    <t>NEW ZEALAND</t>
  </si>
  <si>
    <t>XPF</t>
  </si>
  <si>
    <t>NICARAGUA</t>
  </si>
  <si>
    <t>YER</t>
  </si>
  <si>
    <t>NIGER</t>
  </si>
  <si>
    <t>ZAR</t>
  </si>
  <si>
    <t>NIGERIA</t>
  </si>
  <si>
    <t>ZMW</t>
  </si>
  <si>
    <t>NIUE</t>
  </si>
  <si>
    <t>ZWD</t>
  </si>
  <si>
    <t>NORFOLK ISLAND</t>
  </si>
  <si>
    <t>NORTHERN MARIANA ISLANDS</t>
  </si>
  <si>
    <t>NORWAY</t>
  </si>
  <si>
    <t>SC</t>
  </si>
  <si>
    <t>OMAN</t>
  </si>
  <si>
    <t>PAKISTAN</t>
  </si>
  <si>
    <t>PALAU</t>
  </si>
  <si>
    <t>PALESTINIAN TERRITORY, OCCUPIED</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</si>
  <si>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</si>
  <si>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</si>
  <si>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</si>
  <si>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</si>
  <si>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</si>
  <si>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</si>
  <si>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</si>
  <si>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</si>
  <si>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</si>
  <si>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</si>
  <si>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</si>
  <si>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</si>
  <si>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</si>
  <si>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</si>
  <si>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</si>
  <si>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</si>
  <si>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</si>
  <si>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</si>
  <si>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</si>
  <si>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</si>
  <si>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</si>
  <si>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</si>
  <si>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</si>
  <si>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</si>
  <si>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</si>
  <si>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</si>
  <si>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</si>
  <si>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</si>
  <si>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</si>
  <si>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</si>
  <si>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</si>
  <si>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</si>
  <si>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</si>
  <si>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</si>
  <si>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</si>
  <si>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</si>
  <si>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</si>
  <si>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</si>
  <si>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</si>
  <si>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</si>
  <si>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</si>
  <si>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</si>
  <si>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</si>
  <si>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SWAZILAND</t>
  </si>
  <si>
    <t>SWEDEN</t>
  </si>
  <si>
    <t>http://www.fi.se/instnr</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</si>
  <si>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</si>
  <si>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</si>
  <si>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</si>
  <si>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</si>
  <si>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</si>
  <si>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</si>
  <si>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</si>
  <si>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</si>
  <si>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</si>
  <si>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</si>
  <si>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</si>
  <si>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</si>
  <si>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</si>
  <si>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</si>
  <si>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</si>
  <si>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</si>
  <si>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</si>
  <si>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</si>
  <si>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</si>
  <si>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</si>
  <si>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</si>
  <si>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</si>
  <si>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</si>
  <si>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</si>
  <si>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</si>
  <si>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</si>
  <si>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</si>
  <si>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</si>
  <si>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</si>
  <si>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</si>
  <si>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</si>
  <si>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</si>
  <si>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</si>
  <si>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</si>
  <si>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ÅLAND ISLANDS</t>
  </si>
  <si>
    <t>Other Countries</t>
  </si>
  <si>
    <t>Timestamp</t>
  </si>
  <si>
    <t>Error</t>
  </si>
  <si>
    <t>Index</t>
  </si>
  <si>
    <t>Template Code</t>
  </si>
  <si>
    <t>Template Name</t>
  </si>
  <si>
    <t>Reporting Status</t>
  </si>
  <si>
    <t>SII 2.6.0</t>
  </si>
  <si>
    <t>Annual Solvency II reporting Solo</t>
  </si>
  <si>
    <t>Quarterly Solvency II reporting Solo</t>
  </si>
  <si>
    <t>QRS</t>
  </si>
  <si>
    <t>Annual Solvency II reporting Group</t>
  </si>
  <si>
    <t>ARG</t>
  </si>
  <si>
    <t>Quarterly Solvency II reporting Group</t>
  </si>
  <si>
    <t>QRG</t>
  </si>
  <si>
    <t>Annual Solvency II reporting Third country branches</t>
  </si>
  <si>
    <t>ARB</t>
  </si>
  <si>
    <t>Quarterly Solvency II reporting Third country branches</t>
  </si>
  <si>
    <t>QRB</t>
  </si>
  <si>
    <t>Annual Financial Stability reporting Solo</t>
  </si>
  <si>
    <t>AFS</t>
  </si>
  <si>
    <t>Quarterly Financial Stability reporting Solo</t>
  </si>
  <si>
    <t>QFS</t>
  </si>
  <si>
    <t>Annual Financial Stability reporting Group</t>
  </si>
  <si>
    <t>AFG</t>
  </si>
  <si>
    <t>Quarterly Financial Stability reporting Group</t>
  </si>
  <si>
    <t>QFG</t>
  </si>
  <si>
    <t>Annual Financial Stability Third country branches</t>
  </si>
  <si>
    <t>AFB</t>
  </si>
  <si>
    <t>Quarterly Financial Stability Third country branches</t>
  </si>
  <si>
    <t>QFB</t>
  </si>
  <si>
    <t>Annual ECB reporting Solo</t>
  </si>
  <si>
    <t>AES</t>
  </si>
  <si>
    <t>Quarterly ECB reporting Solo</t>
  </si>
  <si>
    <t>QES</t>
  </si>
  <si>
    <t>Annual ECB reporting Third country branches</t>
  </si>
  <si>
    <t>AEB</t>
  </si>
  <si>
    <t>Quarterly ECB reporting Third country branches</t>
  </si>
  <si>
    <t>QEB</t>
  </si>
  <si>
    <t>Annual reporting Special Purpose Vehicles</t>
  </si>
  <si>
    <t>SPV</t>
  </si>
  <si>
    <t>Annual Solvency II public disclosure Solo</t>
  </si>
  <si>
    <t>APS</t>
  </si>
  <si>
    <t>Annual Solvency II public disclosure Group</t>
  </si>
  <si>
    <t>APG</t>
  </si>
  <si>
    <t>Sheet</t>
  </si>
  <si>
    <t>Prefix</t>
  </si>
  <si>
    <t>S.01.01.01</t>
  </si>
  <si>
    <t>X</t>
  </si>
  <si>
    <t>Appendix I: Quantitative reporting templates</t>
  </si>
  <si>
    <t>S.01.01.02</t>
  </si>
  <si>
    <t>S.01.01.04</t>
  </si>
  <si>
    <t>S.01.01.05</t>
  </si>
  <si>
    <t>S.01.01.07</t>
  </si>
  <si>
    <t>S.01.01.08</t>
  </si>
  <si>
    <t>S.01.01.10</t>
  </si>
  <si>
    <t>S.01.01.11</t>
  </si>
  <si>
    <t>S.01.01.12</t>
  </si>
  <si>
    <t>S.01.01.13</t>
  </si>
  <si>
    <t>S.01.01.14</t>
  </si>
  <si>
    <t>S.01.01.15</t>
  </si>
  <si>
    <t>SR.01.01.01</t>
  </si>
  <si>
    <t>SR.01.01.04</t>
  </si>
  <si>
    <t>SR.01.01.07</t>
  </si>
  <si>
    <t>SE.01.01.16</t>
  </si>
  <si>
    <t>Variant of Solvency II template S.01.01.01 with ECB add-ons (annual reporting, solo)</t>
  </si>
  <si>
    <t>SE.01.01.17</t>
  </si>
  <si>
    <t>Variant of Solvency II template S.01.01.02 with ECB add-ons (quarterly reporting, solo)</t>
  </si>
  <si>
    <t>SE.01.01.18</t>
  </si>
  <si>
    <t>Variant of Solvency II template S.01.01.07 with ECB add-ons (annual reporting, third country branches)</t>
  </si>
  <si>
    <t>SE.01.01.19</t>
  </si>
  <si>
    <t>Variant of Solvency II template S.01.01.08 with ECB add-ons (quarterly reporting, third country branches)</t>
  </si>
  <si>
    <t>S.01.02.01</t>
  </si>
  <si>
    <t>Basic Information - General</t>
  </si>
  <si>
    <t>S.01.02.04</t>
  </si>
  <si>
    <t>S.01.02.07</t>
  </si>
  <si>
    <t>Basic Information</t>
  </si>
  <si>
    <t>S.01.03.01</t>
  </si>
  <si>
    <t>Basic Information - RFF and matching adjustment portfolios</t>
  </si>
  <si>
    <t>S.01.03.04</t>
  </si>
  <si>
    <t>S.02.01.01</t>
  </si>
  <si>
    <t>Balance sheet</t>
  </si>
  <si>
    <t>S.02.01.02</t>
  </si>
  <si>
    <t>S.02.01.07</t>
  </si>
  <si>
    <t>S.02.01.08</t>
  </si>
  <si>
    <t>SR.02.01.01</t>
  </si>
  <si>
    <t>SR.02.01.07</t>
  </si>
  <si>
    <t>SE.02.01.16</t>
  </si>
  <si>
    <t>Variant of Solvency II template S.02.01.01 with ECB add-ons (annual reporting, solo)</t>
  </si>
  <si>
    <t>SE.02.01.17</t>
  </si>
  <si>
    <t>Variant of Solvency II template S.02.01.02 with ECB add-ons (quarterly reporting, solo)</t>
  </si>
  <si>
    <t>SE.02.01.18</t>
  </si>
  <si>
    <t>Variant of Solvency II template S.02.01.07 with ECB add-ons (annual reporting, third country branches)</t>
  </si>
  <si>
    <t>SE.02.01.19</t>
  </si>
  <si>
    <t>Variant of Solvency II template S.02.01.08 with ECB add-ons (quarterly reporting, third country branches)</t>
  </si>
  <si>
    <t>S.02.02.01</t>
  </si>
  <si>
    <t>Assets and liabilities by currency</t>
  </si>
  <si>
    <t>S.02.03.07</t>
  </si>
  <si>
    <t>Additional branch balance sheet information</t>
  </si>
  <si>
    <t>S.03.01.01</t>
  </si>
  <si>
    <t>Off-balance sheet items - general</t>
  </si>
  <si>
    <t>S.03.01.04</t>
  </si>
  <si>
    <t>S.03.02.01</t>
  </si>
  <si>
    <t>Off-balance sheet items - List of unlimited guarantees received by the undertaking</t>
  </si>
  <si>
    <t>S.03.02.04</t>
  </si>
  <si>
    <t>Off-balance sheet items - List of unlimited guarantees received by the group</t>
  </si>
  <si>
    <t>S.03.03.01</t>
  </si>
  <si>
    <t>Off-balance sheet items - List of unlimited guarantees provided by the undertaking</t>
  </si>
  <si>
    <t>S.03.03.04</t>
  </si>
  <si>
    <t>Off-balance sheet items - List of unlimited guarantees provided by the group</t>
  </si>
  <si>
    <t>S.04.01.01</t>
  </si>
  <si>
    <t>Activity by country</t>
  </si>
  <si>
    <t>S.04.02.01</t>
  </si>
  <si>
    <t>Information on class 10 in Part A of Annex I of Solvency II Directive, excluding carrier's liability</t>
  </si>
  <si>
    <t>S.05.01.01</t>
  </si>
  <si>
    <t>Premiums, claims and expenses by line of business</t>
  </si>
  <si>
    <t>S.05.01.02</t>
  </si>
  <si>
    <t>S.05.01.13</t>
  </si>
  <si>
    <t>S.05.02.01</t>
  </si>
  <si>
    <t>Premiums, claims and expenses by country</t>
  </si>
  <si>
    <t>S.06.01.01</t>
  </si>
  <si>
    <t>Summary of assets</t>
  </si>
  <si>
    <t>S.06.02.01</t>
  </si>
  <si>
    <t>List of assets</t>
  </si>
  <si>
    <t>S.06.02.04</t>
  </si>
  <si>
    <t>S.06.02.07</t>
  </si>
  <si>
    <t>SE.06.02.16</t>
  </si>
  <si>
    <t>Variant of Solvency II template S.06.02.01 with ECB add-ons (annual and quarterly reporting, solo)</t>
  </si>
  <si>
    <t>SE.06.02.18</t>
  </si>
  <si>
    <t>Variant of Solvency II template S.06.02.07 with ECB add-ons (annual and quarterly reporting, third country branches)</t>
  </si>
  <si>
    <t>S.06.03.01</t>
  </si>
  <si>
    <t>Collective investment undertakings - look-through approach</t>
  </si>
  <si>
    <t>S.06.03.04</t>
  </si>
  <si>
    <t>S.07.01.01</t>
  </si>
  <si>
    <t>Structured products</t>
  </si>
  <si>
    <t>S.07.01.04</t>
  </si>
  <si>
    <t>S.08.01.01</t>
  </si>
  <si>
    <t>Open derivatives</t>
  </si>
  <si>
    <t>S.08.01.04</t>
  </si>
  <si>
    <t>S.08.02.01</t>
  </si>
  <si>
    <t>Derivatives Transactions</t>
  </si>
  <si>
    <t>S.08.02.04</t>
  </si>
  <si>
    <t>S.09.01.01</t>
  </si>
  <si>
    <t>Income/gains and losses in the period</t>
  </si>
  <si>
    <t>S.09.01.04</t>
  </si>
  <si>
    <t>S.10.01.01</t>
  </si>
  <si>
    <t>Securities lending and repos</t>
  </si>
  <si>
    <t>S.10.01.04</t>
  </si>
  <si>
    <t>S.11.01.01</t>
  </si>
  <si>
    <t>Assets held as collateral</t>
  </si>
  <si>
    <t>S.11.01.04</t>
  </si>
  <si>
    <t>S.12.01.01</t>
  </si>
  <si>
    <t>Life and Health SLT Technical Provisions</t>
  </si>
  <si>
    <t>S.12.01.02</t>
  </si>
  <si>
    <t>SR.12.01.01</t>
  </si>
  <si>
    <t>S.12.02.01</t>
  </si>
  <si>
    <t>Life and Health SLT Technical Provisions - by country</t>
  </si>
  <si>
    <t>S.13.01.01</t>
  </si>
  <si>
    <t>Projection of future gross cash flows</t>
  </si>
  <si>
    <t>S.14.01.01</t>
  </si>
  <si>
    <t>Life obligations analysis</t>
  </si>
  <si>
    <t>S.14.01.10</t>
  </si>
  <si>
    <t>S.15.01.01</t>
  </si>
  <si>
    <t>Description of the guarantees of variable annuities</t>
  </si>
  <si>
    <t>S.15.01.04</t>
  </si>
  <si>
    <t>S.15.02.01</t>
  </si>
  <si>
    <t>Hedging of guarantees of variable annuities</t>
  </si>
  <si>
    <t>S.15.02.04</t>
  </si>
  <si>
    <t>S.16.01.01</t>
  </si>
  <si>
    <t>Information on annuities stemming from Non-Life Insurance obligations</t>
  </si>
  <si>
    <t>S.17.01.01</t>
  </si>
  <si>
    <t>Non-Life Technical Provisions</t>
  </si>
  <si>
    <t>S.17.01.02</t>
  </si>
  <si>
    <t>SR.17.01.01</t>
  </si>
  <si>
    <t>S.17.02.01</t>
  </si>
  <si>
    <t>Non-Life Technical Provisions - By country</t>
  </si>
  <si>
    <t>S.18.01.01</t>
  </si>
  <si>
    <t>Projection of future cash flows (Best Estimate - Non Life)</t>
  </si>
  <si>
    <t>S.19.01.01</t>
  </si>
  <si>
    <t>Non-life insurance claims</t>
  </si>
  <si>
    <t>S.19.01.21</t>
  </si>
  <si>
    <t>S.20.01.01</t>
  </si>
  <si>
    <t>Development of the distribution of the claims incurred</t>
  </si>
  <si>
    <t>S.21.01.01</t>
  </si>
  <si>
    <t>Loss distribution risk profile</t>
  </si>
  <si>
    <t>S.21.02.01</t>
  </si>
  <si>
    <t>Underwriting risks non-life</t>
  </si>
  <si>
    <t>S.21.03.01</t>
  </si>
  <si>
    <t>Non-life distribution of underwriting risks - by sum insured</t>
  </si>
  <si>
    <t>S.22.01.01</t>
  </si>
  <si>
    <t>Impact of long term guarantees measures and transitionals</t>
  </si>
  <si>
    <t>S.22.01.04</t>
  </si>
  <si>
    <t>S.22.01.21</t>
  </si>
  <si>
    <t>S.22.01.22</t>
  </si>
  <si>
    <t>SR.22.02.01</t>
  </si>
  <si>
    <t>Projection of future cash flows (Best Estimate - Matching portfolios)</t>
  </si>
  <si>
    <t>SR.22.03.01</t>
  </si>
  <si>
    <t>Information on the matching adjustment calculation</t>
  </si>
  <si>
    <t>S.22.04.01</t>
  </si>
  <si>
    <t>Information on the transitional on interest rates calculation</t>
  </si>
  <si>
    <t>S.22.05.01</t>
  </si>
  <si>
    <t>Overall calculation of the transitional on technical provisions</t>
  </si>
  <si>
    <t>S.22.06.01</t>
  </si>
  <si>
    <t>Best estimate subject to volatility adjustment by country and currency</t>
  </si>
  <si>
    <t>S.23.01.01</t>
  </si>
  <si>
    <t>Own funds</t>
  </si>
  <si>
    <t>S.23.01.04</t>
  </si>
  <si>
    <t>S.23.01.07</t>
  </si>
  <si>
    <t>S.23.01.13</t>
  </si>
  <si>
    <t>S.23.01.22</t>
  </si>
  <si>
    <t>S.23.02.01</t>
  </si>
  <si>
    <t>Detailed information by tiers on own funds</t>
  </si>
  <si>
    <t>S.23.02.04</t>
  </si>
  <si>
    <t>S.23.03.01</t>
  </si>
  <si>
    <t>Annual movements on own funds</t>
  </si>
  <si>
    <t>S.23.03.04</t>
  </si>
  <si>
    <t>S.23.03.07</t>
  </si>
  <si>
    <t>Own funds - movements in the reporting period</t>
  </si>
  <si>
    <t>S.23.04.01</t>
  </si>
  <si>
    <t>List of items on own funds</t>
  </si>
  <si>
    <t>S.23.04.04</t>
  </si>
  <si>
    <t>S.24.01.01</t>
  </si>
  <si>
    <t>Participations held</t>
  </si>
  <si>
    <t>S.25.01.01</t>
  </si>
  <si>
    <t>Solvency Capital Requirement - for undertakings on Standard Formula</t>
  </si>
  <si>
    <t>S.25.01.04</t>
  </si>
  <si>
    <t>Solvency Capital Requirement - for groups on Standard Formula</t>
  </si>
  <si>
    <t>S.25.01.21</t>
  </si>
  <si>
    <t>S.25.01.22</t>
  </si>
  <si>
    <t>SR.25.01.01</t>
  </si>
  <si>
    <t>SR.25.01.04</t>
  </si>
  <si>
    <t>S.25.02.01</t>
  </si>
  <si>
    <t>Solvency Capital Requirement - for undertakings using the standard formula and partial internal model</t>
  </si>
  <si>
    <t>S.25.02.04</t>
  </si>
  <si>
    <t>Solvency Capital Requirement - for groups using the standard formula and partial internal model</t>
  </si>
  <si>
    <t>S.25.02.21</t>
  </si>
  <si>
    <t>S.25.02.22</t>
  </si>
  <si>
    <t>SR.25.02.01</t>
  </si>
  <si>
    <t>SR.25.02.04</t>
  </si>
  <si>
    <t>S.25.03.01</t>
  </si>
  <si>
    <t>Solvency Capital Requirement - for undertakings on Full Internal Models</t>
  </si>
  <si>
    <t>S.25.03.04</t>
  </si>
  <si>
    <t>Solvency Capital Requirement - for groups on Full Internal Models</t>
  </si>
  <si>
    <t>S.25.03.21</t>
  </si>
  <si>
    <t>S.25.03.22</t>
  </si>
  <si>
    <t>SR.25.03.01</t>
  </si>
  <si>
    <t>SR.25.03.04</t>
  </si>
  <si>
    <t>S.25.04.11</t>
  </si>
  <si>
    <t>Solvency Capital Requirement</t>
  </si>
  <si>
    <t>S.25.04.13</t>
  </si>
  <si>
    <t>S.26.01.01</t>
  </si>
  <si>
    <t>Solvency Capital Requirement - Market risk</t>
  </si>
  <si>
    <t>S.26.01.04</t>
  </si>
  <si>
    <t>SR.26.01.01</t>
  </si>
  <si>
    <t>S.26.02.01</t>
  </si>
  <si>
    <t>Solvency Capital Requirement - Counterparty default risk</t>
  </si>
  <si>
    <t>S.26.02.04</t>
  </si>
  <si>
    <t>SR.26.02.01</t>
  </si>
  <si>
    <t>S.26.03.01</t>
  </si>
  <si>
    <t>Solvency Capital Requirement - Life underwriting risk</t>
  </si>
  <si>
    <t>S.26.03.04</t>
  </si>
  <si>
    <t>SR.26.03.01</t>
  </si>
  <si>
    <t>S.26.04.01</t>
  </si>
  <si>
    <t>Solvency Capital Requirement - Health underwriting risk</t>
  </si>
  <si>
    <t>S.26.04.04</t>
  </si>
  <si>
    <t>SR.26.04.01</t>
  </si>
  <si>
    <t>S.26.05.01</t>
  </si>
  <si>
    <t>Solvency Capital Requirement - Non-Life underwriting risk</t>
  </si>
  <si>
    <t>S.26.05.04</t>
  </si>
  <si>
    <t>SR.26.05.01</t>
  </si>
  <si>
    <t>S.26.06.01</t>
  </si>
  <si>
    <t>Solvency Capital Requirement - Operational risk</t>
  </si>
  <si>
    <t>S.26.06.04</t>
  </si>
  <si>
    <t>SR.26.06.01</t>
  </si>
  <si>
    <t>S.26.07.01</t>
  </si>
  <si>
    <t>Solvency Capital Requirement - Simplifications</t>
  </si>
  <si>
    <t>S.26.07.04</t>
  </si>
  <si>
    <t>SR.26.07.01</t>
  </si>
  <si>
    <t>S.27.01.01</t>
  </si>
  <si>
    <t>Solvency Capital Requirement - Non-life and Health catastrophe risk</t>
  </si>
  <si>
    <t>S.27.01.04</t>
  </si>
  <si>
    <t>SR.27.01.01</t>
  </si>
  <si>
    <t>S.28.01.01</t>
  </si>
  <si>
    <t>Minimum Capital Requirement - Only life or only non-life insurance or reinsurance activity</t>
  </si>
  <si>
    <t>S.28.02.01</t>
  </si>
  <si>
    <t>Minimum Capital Requirement - Both life and non-life insurance activity</t>
  </si>
  <si>
    <t>S.29.01.01</t>
  </si>
  <si>
    <t>Excess of Assets over Liabilities</t>
  </si>
  <si>
    <t>S.29.01.07</t>
  </si>
  <si>
    <t>Summary analysis of changes in BOF</t>
  </si>
  <si>
    <t>S.29.02.01</t>
  </si>
  <si>
    <t>Excess of Assets over Liabilities - explained by investments and financial liabilities</t>
  </si>
  <si>
    <t>S.29.03.01</t>
  </si>
  <si>
    <t>Excess of Assets over Liabilities - explained by technical provisions</t>
  </si>
  <si>
    <t>S.29.04.01</t>
  </si>
  <si>
    <t>Detailed analysis per period - Technical flows versus Technical provisions</t>
  </si>
  <si>
    <t>S.30.01.01</t>
  </si>
  <si>
    <t>Facultative covers for non-life and life business basic data</t>
  </si>
  <si>
    <t>S.30.02.01</t>
  </si>
  <si>
    <t>Facultative covers for non-life and life business shares data</t>
  </si>
  <si>
    <t>S.30.03.01</t>
  </si>
  <si>
    <t>Outgoing Reinsurance Program basic data</t>
  </si>
  <si>
    <t>S.30.04.01</t>
  </si>
  <si>
    <t>Outgoing Reinsurance Program shares data</t>
  </si>
  <si>
    <t>S.31.01.01</t>
  </si>
  <si>
    <t>Share of reinsurers (including Finite Reinsurance and SPV's)</t>
  </si>
  <si>
    <t>S.31.01.04</t>
  </si>
  <si>
    <t>S.31.02.01</t>
  </si>
  <si>
    <t>Special Purpose Vehicles</t>
  </si>
  <si>
    <t>S.31.02.04</t>
  </si>
  <si>
    <t>S.32.01.04</t>
  </si>
  <si>
    <t>Undertakings in the scope of the group</t>
  </si>
  <si>
    <t>S.32.01.22</t>
  </si>
  <si>
    <t>S.33.01.04</t>
  </si>
  <si>
    <t>Insurance and Reinsurance individual requirements</t>
  </si>
  <si>
    <t>S.34.01.04</t>
  </si>
  <si>
    <t>Other regulated and non-regulated financial undertakings including insurance holding companies and mixed financial holding company individual requirements</t>
  </si>
  <si>
    <t>S.35.01.04</t>
  </si>
  <si>
    <t>Contribution to group Technical Provisions</t>
  </si>
  <si>
    <t>S.36.01.01</t>
  </si>
  <si>
    <t>IGT - Equity-type transactions, debt and asset transfer</t>
  </si>
  <si>
    <t>S.36.02.01</t>
  </si>
  <si>
    <t>IGT - Derivatives</t>
  </si>
  <si>
    <t>S.36.03.01</t>
  </si>
  <si>
    <t>IGT - Internal reinsurance</t>
  </si>
  <si>
    <t>S.36.04.01</t>
  </si>
  <si>
    <t>IGT - Cost Sharing, contingent liabilities, off BS and other items</t>
  </si>
  <si>
    <t>S.37.01.04</t>
  </si>
  <si>
    <t>Risk concentration</t>
  </si>
  <si>
    <t>S.38.01.10</t>
  </si>
  <si>
    <t>Duration of technical provisions</t>
  </si>
  <si>
    <t>S.39.01.11</t>
  </si>
  <si>
    <t>Profit and Loss</t>
  </si>
  <si>
    <t>S.40.01.10</t>
  </si>
  <si>
    <t>Profit or Loss sharing</t>
  </si>
  <si>
    <t>S.41.01.11</t>
  </si>
  <si>
    <t>Lapses</t>
  </si>
  <si>
    <t>E.01.01.16</t>
  </si>
  <si>
    <t>New template for ESCB purposes (annual and quarterly reporting, solo and third country branches)</t>
  </si>
  <si>
    <t>E.02.01.16</t>
  </si>
  <si>
    <t>New template for ESCB purposes (annual reporting, solo and third country branches)</t>
  </si>
  <si>
    <t>E.03.01.16</t>
  </si>
  <si>
    <t>SPV.01.01.20</t>
  </si>
  <si>
    <t>SPV.01.02.20</t>
  </si>
  <si>
    <t>Basic information</t>
  </si>
  <si>
    <t>SPV.02.01.20</t>
  </si>
  <si>
    <t>SPV.02.02.20</t>
  </si>
  <si>
    <t>Special Purpose Vehicles reporting templates - Off-Balance sheet</t>
  </si>
  <si>
    <t>SPV.03.01.20</t>
  </si>
  <si>
    <t>Special Purpose Vehicles reporting templates - Risks assumed</t>
  </si>
  <si>
    <t>SPV.03.02.20</t>
  </si>
  <si>
    <t>T.99.01.01</t>
  </si>
  <si>
    <t>Technical table</t>
  </si>
  <si>
    <t>hier_CN_2</t>
  </si>
  <si>
    <t>Reported</t>
  </si>
  <si>
    <t>hier_CN_14</t>
  </si>
  <si>
    <t>Not reported as no RFF or MAP</t>
  </si>
  <si>
    <t>Not reported other reason</t>
  </si>
  <si>
    <t>hier_CN_81</t>
  </si>
  <si>
    <t>Exempted under Article 35 (6) to (8)</t>
  </si>
  <si>
    <t>hier_CN_18</t>
  </si>
  <si>
    <t>Not due in accordance with instructions of the template</t>
  </si>
  <si>
    <t>hier_CN_20</t>
  </si>
  <si>
    <t>Not reported as no off-balance sheet items</t>
  </si>
  <si>
    <t>hier_CN_34</t>
  </si>
  <si>
    <t>Not reported as no unlimited guarantees received</t>
  </si>
  <si>
    <t>hier_CN_35</t>
  </si>
  <si>
    <t>Not reported as no unlimited guarantees provided</t>
  </si>
  <si>
    <t>hier_CN_36</t>
  </si>
  <si>
    <t>Not reported as no activity outside the home country</t>
  </si>
  <si>
    <t>hier_CN_37</t>
  </si>
  <si>
    <t>Not reported as no activity outside the home country in relation to specific class</t>
  </si>
  <si>
    <t>Not reported as no direct insurance business</t>
  </si>
  <si>
    <t>hier_CN_113</t>
  </si>
  <si>
    <t>hier_CN_116</t>
  </si>
  <si>
    <t>hier_CN_27</t>
  </si>
  <si>
    <t>Not due as S.06.02 and S.08.01 reported quarterly</t>
  </si>
  <si>
    <t>Not due as S.06.02 and S.08.01 reported annually</t>
  </si>
  <si>
    <t>hier_CN_23</t>
  </si>
  <si>
    <t>Not due annually as reported for Quarter 4</t>
  </si>
  <si>
    <t>hier_CN_117</t>
  </si>
  <si>
    <t>Not reported as no Collective investment undertakings</t>
  </si>
  <si>
    <t>hier_CN_120</t>
  </si>
  <si>
    <t>Not reported as no structured products</t>
  </si>
  <si>
    <t>hier_CN_28</t>
  </si>
  <si>
    <t>Not reported o/a no derivative transactions</t>
  </si>
  <si>
    <t>hier_CN_15</t>
  </si>
  <si>
    <t>hier_CN_39</t>
  </si>
  <si>
    <t>Not reported as no Securities lending and repos</t>
  </si>
  <si>
    <t>hier_CN_40</t>
  </si>
  <si>
    <t>Not reported as no Assets held as collateral</t>
  </si>
  <si>
    <t>hier_CN_83</t>
  </si>
  <si>
    <t>Not reported o/a no life and health SLT business</t>
  </si>
  <si>
    <t>hier_CN_31</t>
  </si>
  <si>
    <t>hier_CN_30</t>
  </si>
  <si>
    <t>hier_CN_41</t>
  </si>
  <si>
    <t>Not reported as no variable annuities</t>
  </si>
  <si>
    <t>hier_CN_42</t>
  </si>
  <si>
    <t>Not reported as no annuities stemming from Non-Life Insurance obligations</t>
  </si>
  <si>
    <t>hier_CN_84</t>
  </si>
  <si>
    <t>Not reported o/a no non-life business</t>
  </si>
  <si>
    <t>hier_CN_33</t>
  </si>
  <si>
    <t>hier_CN_32</t>
  </si>
  <si>
    <t>hier_CN_123</t>
  </si>
  <si>
    <t>hier_CN_43</t>
  </si>
  <si>
    <t>Not reported as no LTG measures or transitional are applied</t>
  </si>
  <si>
    <t>hier_CN_45</t>
  </si>
  <si>
    <t>Not reported as no such transitional measure is applied</t>
  </si>
  <si>
    <t>hier_CN_112</t>
  </si>
  <si>
    <t>Not reported as volatility adjustment not applied</t>
  </si>
  <si>
    <t>hier_CN_1</t>
  </si>
  <si>
    <t>Not reported</t>
  </si>
  <si>
    <t>hier_CN_46</t>
  </si>
  <si>
    <t>Not reported as no participations held</t>
  </si>
  <si>
    <t>hier_CN_108</t>
  </si>
  <si>
    <t>Reported as standard formula is used</t>
  </si>
  <si>
    <t>Reported due to article 112 request</t>
  </si>
  <si>
    <t>Not reported o/a use partial internal model</t>
  </si>
  <si>
    <t>Not reported o/a use full internal model</t>
  </si>
  <si>
    <t>hier_CN_8</t>
  </si>
  <si>
    <t>Not reported o/a full use of Standard Formula</t>
  </si>
  <si>
    <t>hier_CN_9</t>
  </si>
  <si>
    <t>hier_CN_124</t>
  </si>
  <si>
    <t>Not reported as risk not existent</t>
  </si>
  <si>
    <t>Not reported as reported at RFF/MAP level</t>
  </si>
  <si>
    <t>Reported twice due to use of PIM</t>
  </si>
  <si>
    <t>hier_CN_53</t>
  </si>
  <si>
    <t>hier_CN_55</t>
  </si>
  <si>
    <t>Not reported as no simplified calculations used</t>
  </si>
  <si>
    <t>hier_CN_51</t>
  </si>
  <si>
    <t>hier_CN_85</t>
  </si>
  <si>
    <t>Not reported as both life and non-life insurance or reinsurance activity</t>
  </si>
  <si>
    <t>hier_CN_86</t>
  </si>
  <si>
    <t>Not reported as only life or only non-life insurance or reinsurance activity or only reinsurance activity</t>
  </si>
  <si>
    <t>hier_CN_57</t>
  </si>
  <si>
    <t>Not reported as no facultative covers</t>
  </si>
  <si>
    <t>hier_CN_58</t>
  </si>
  <si>
    <t>Not reported as no reinsurance</t>
  </si>
  <si>
    <t>hier_CN_59</t>
  </si>
  <si>
    <t>Not reported as no Special Purpose Insurance Vehicles</t>
  </si>
  <si>
    <t>hier_CN_60</t>
  </si>
  <si>
    <t>Not reported as no IGT on Equity-type transactions, debt and asset transfer</t>
  </si>
  <si>
    <t>Not reported as no parent undertaking is a mixed-activity insurance holding company where they are not part of a group as defined under article 213 (2) (a), (b) and (c) of Solvency II</t>
  </si>
  <si>
    <t>hier_CN_62</t>
  </si>
  <si>
    <t>Not reported as no IGT on Derivatives</t>
  </si>
  <si>
    <t>hier_CN_64</t>
  </si>
  <si>
    <t>Not reported as no IGT on Internal reinsurance</t>
  </si>
  <si>
    <t>hier_CN_66</t>
  </si>
  <si>
    <t>Not reported as no IGT on Cost Sharing, contingent liabilities, off BS and other items</t>
  </si>
  <si>
    <t>hier_SE_21</t>
  </si>
  <si>
    <t>Life undertakings</t>
  </si>
  <si>
    <t>Non-Life undertakings</t>
  </si>
  <si>
    <t>Undertakings pursuing both life and non-life insurance activity - article 73 (2)</t>
  </si>
  <si>
    <t>Undertakings pursuing both life and non-life insurance activity - article 73 (5)</t>
  </si>
  <si>
    <t>Reinsurance undertakings</t>
  </si>
  <si>
    <t>hier_GA_1</t>
  </si>
  <si>
    <t>BONAIRE, SINT EUSTATIUS AND SABA</t>
  </si>
  <si>
    <t>BOSNIA AND HERZEGOVINA</t>
  </si>
  <si>
    <t>BOTSWANA</t>
  </si>
  <si>
    <t>BOUVET ISLAND</t>
  </si>
  <si>
    <t>CZECHIA</t>
  </si>
  <si>
    <t>KOSOVO</t>
  </si>
  <si>
    <t>NORTH MACEDONIA</t>
  </si>
  <si>
    <t>PALESTINE, STATE OF</t>
  </si>
  <si>
    <t>ESWATINI</t>
  </si>
  <si>
    <t>UNITED KINGDOM (GIBRALTAR)</t>
  </si>
  <si>
    <t>UNITED KINGDOM (AFTER BREXIT)</t>
  </si>
  <si>
    <t>UNITED KINGDOM (GIBRALTAR) (AFTER BREXIT)</t>
  </si>
  <si>
    <t>Temporary identifier for country 1</t>
  </si>
  <si>
    <t>Temporary identifier for country 2</t>
  </si>
  <si>
    <t>Temporary identifier for country 3</t>
  </si>
  <si>
    <t>hier_LA_1</t>
  </si>
  <si>
    <t>Afar</t>
  </si>
  <si>
    <t>Abkhazian</t>
  </si>
  <si>
    <t>Avestan</t>
  </si>
  <si>
    <t>Afrikaans</t>
  </si>
  <si>
    <t>Akan</t>
  </si>
  <si>
    <t>Amharic</t>
  </si>
  <si>
    <t>Aragonese</t>
  </si>
  <si>
    <t>Arabic</t>
  </si>
  <si>
    <t>Assamese</t>
  </si>
  <si>
    <t>Avaric</t>
  </si>
  <si>
    <t>Aymara</t>
  </si>
  <si>
    <t>Azerbaijani</t>
  </si>
  <si>
    <t>Bashkir</t>
  </si>
  <si>
    <t>Belarusian</t>
  </si>
  <si>
    <t>Bulgarian</t>
  </si>
  <si>
    <t>Bihari languages</t>
  </si>
  <si>
    <t>Bislama</t>
  </si>
  <si>
    <t>Bambara</t>
  </si>
  <si>
    <t>Bengali</t>
  </si>
  <si>
    <t>Tibetan</t>
  </si>
  <si>
    <t>Breton</t>
  </si>
  <si>
    <t>Bosnian</t>
  </si>
  <si>
    <t>Catalan</t>
  </si>
  <si>
    <t>Chechen</t>
  </si>
  <si>
    <t>Chamorro</t>
  </si>
  <si>
    <t>Corsican</t>
  </si>
  <si>
    <t>Cree</t>
  </si>
  <si>
    <t>Czech</t>
  </si>
  <si>
    <t>Church Slavic</t>
  </si>
  <si>
    <t>Chuvash</t>
  </si>
  <si>
    <t>Welsh</t>
  </si>
  <si>
    <t>Danish</t>
  </si>
  <si>
    <t>German</t>
  </si>
  <si>
    <t>Dhivehi</t>
  </si>
  <si>
    <t>Dzongkha</t>
  </si>
  <si>
    <t>Ewe</t>
  </si>
  <si>
    <t>Modern Greek (1453-)</t>
  </si>
  <si>
    <t>English</t>
  </si>
  <si>
    <t>Esperanto</t>
  </si>
  <si>
    <t>Spanish</t>
  </si>
  <si>
    <t>Estonian</t>
  </si>
  <si>
    <t>Basque</t>
  </si>
  <si>
    <t>Persian</t>
  </si>
  <si>
    <t>Fulah</t>
  </si>
  <si>
    <t>Finnish</t>
  </si>
  <si>
    <t>Fijian</t>
  </si>
  <si>
    <t>Faroese</t>
  </si>
  <si>
    <t>French</t>
  </si>
  <si>
    <t>Western Frisian</t>
  </si>
  <si>
    <t>Irish</t>
  </si>
  <si>
    <t>Scottish Gaelic</t>
  </si>
  <si>
    <t>Galician</t>
  </si>
  <si>
    <t>Guarani</t>
  </si>
  <si>
    <t>Gujarati</t>
  </si>
  <si>
    <t>Manx</t>
  </si>
  <si>
    <t>Hausa</t>
  </si>
  <si>
    <t>Hebrew</t>
  </si>
  <si>
    <t>Hindi</t>
  </si>
  <si>
    <t>Hiri Motu</t>
  </si>
  <si>
    <t>Croatian</t>
  </si>
  <si>
    <t>Haitian</t>
  </si>
  <si>
    <t>Hungarian</t>
  </si>
  <si>
    <t>Armenian</t>
  </si>
  <si>
    <t>Herero</t>
  </si>
  <si>
    <t>Interlingua (International Auxiliary Language Association)</t>
  </si>
  <si>
    <t>Indonesian</t>
  </si>
  <si>
    <t>Interlingue</t>
  </si>
  <si>
    <t>Igbo</t>
  </si>
  <si>
    <t>Sichuan Yi</t>
  </si>
  <si>
    <t>Inupiaq</t>
  </si>
  <si>
    <t>Ido</t>
  </si>
  <si>
    <t>Icelandic</t>
  </si>
  <si>
    <t>Italian</t>
  </si>
  <si>
    <t>Inuktitut</t>
  </si>
  <si>
    <t>Japanese</t>
  </si>
  <si>
    <t>Javanese</t>
  </si>
  <si>
    <t>Georgian</t>
  </si>
  <si>
    <t>Kongo</t>
  </si>
  <si>
    <t>Kikuyu</t>
  </si>
  <si>
    <t>Kuanyama</t>
  </si>
  <si>
    <t>Kazakh</t>
  </si>
  <si>
    <t>Kalaallisut</t>
  </si>
  <si>
    <t>Central Khmer</t>
  </si>
  <si>
    <t>Kannada</t>
  </si>
  <si>
    <t>Korean</t>
  </si>
  <si>
    <t>Kanuri</t>
  </si>
  <si>
    <t>Kashmiri</t>
  </si>
  <si>
    <t>Kurdish</t>
  </si>
  <si>
    <t>Komi</t>
  </si>
  <si>
    <t>Cornish</t>
  </si>
  <si>
    <t>Kirghiz</t>
  </si>
  <si>
    <t>Luxembourgish</t>
  </si>
  <si>
    <t>Ganda</t>
  </si>
  <si>
    <t>Limburgan</t>
  </si>
  <si>
    <t>Lingala</t>
  </si>
  <si>
    <t>Lao</t>
  </si>
  <si>
    <t>Lithuanian</t>
  </si>
  <si>
    <t>Luba-Katanga</t>
  </si>
  <si>
    <t>Latvian</t>
  </si>
  <si>
    <t>Malagasy</t>
  </si>
  <si>
    <t>Marshallese</t>
  </si>
  <si>
    <t>Maori</t>
  </si>
  <si>
    <t>Macedonian</t>
  </si>
  <si>
    <t>Malayalam</t>
  </si>
  <si>
    <t>Mongolian</t>
  </si>
  <si>
    <t>Marathi</t>
  </si>
  <si>
    <t>Malay (macrolanguage)</t>
  </si>
  <si>
    <t>Maltese</t>
  </si>
  <si>
    <t>Burmese</t>
  </si>
  <si>
    <t>Nauru</t>
  </si>
  <si>
    <t>Norwegian Bokmål</t>
  </si>
  <si>
    <t>North Ndebele</t>
  </si>
  <si>
    <t>Nepali (macrolanguage)</t>
  </si>
  <si>
    <t>Ndonga</t>
  </si>
  <si>
    <t>Dutch</t>
  </si>
  <si>
    <t>Norwegian Nynorsk</t>
  </si>
  <si>
    <t>Norwegian</t>
  </si>
  <si>
    <t>South Ndebele</t>
  </si>
  <si>
    <t>Navajo</t>
  </si>
  <si>
    <t>Nyanja</t>
  </si>
  <si>
    <t>Occitan (post 1500)</t>
  </si>
  <si>
    <t>Ojibwa</t>
  </si>
  <si>
    <t>Oromo</t>
  </si>
  <si>
    <t>Oriya (macrolanguage)</t>
  </si>
  <si>
    <t>Ossetian</t>
  </si>
  <si>
    <t>Panjabi</t>
  </si>
  <si>
    <t>Pali</t>
  </si>
  <si>
    <t>Polish</t>
  </si>
  <si>
    <t>Pushto</t>
  </si>
  <si>
    <t>Portuguese</t>
  </si>
  <si>
    <t>Quechua</t>
  </si>
  <si>
    <t>Romansh</t>
  </si>
  <si>
    <t>Rundi</t>
  </si>
  <si>
    <t>Romanian</t>
  </si>
  <si>
    <t>Russian</t>
  </si>
  <si>
    <t>Kinyarwanda</t>
  </si>
  <si>
    <t>Sardinian</t>
  </si>
  <si>
    <t>Sindhi</t>
  </si>
  <si>
    <t>Northern Sami</t>
  </si>
  <si>
    <t>Sango</t>
  </si>
  <si>
    <t>Serbo-Croatian</t>
  </si>
  <si>
    <t>Sinhala</t>
  </si>
  <si>
    <t>Slovak</t>
  </si>
  <si>
    <t>Slovenian</t>
  </si>
  <si>
    <t>Samoan</t>
  </si>
  <si>
    <t>Shona</t>
  </si>
  <si>
    <t>Somali</t>
  </si>
  <si>
    <t>Albanian</t>
  </si>
  <si>
    <t>Serbian</t>
  </si>
  <si>
    <t>Swati</t>
  </si>
  <si>
    <t>Southern Sotho</t>
  </si>
  <si>
    <t>Sundanese</t>
  </si>
  <si>
    <t>Swedish</t>
  </si>
  <si>
    <t>Swahili (macrolanguage)</t>
  </si>
  <si>
    <t>Tamil</t>
  </si>
  <si>
    <t>Telugu</t>
  </si>
  <si>
    <t>Tajik</t>
  </si>
  <si>
    <t>Thai</t>
  </si>
  <si>
    <t>Tigrinya</t>
  </si>
  <si>
    <t>Turkmen</t>
  </si>
  <si>
    <t>Tagalog</t>
  </si>
  <si>
    <t>Tswana</t>
  </si>
  <si>
    <t>Tonga (Tonga Islands)</t>
  </si>
  <si>
    <t>Turkish</t>
  </si>
  <si>
    <t>Tsonga</t>
  </si>
  <si>
    <t>Tatar</t>
  </si>
  <si>
    <t>Twi</t>
  </si>
  <si>
    <t>Tahitian</t>
  </si>
  <si>
    <t>Uighur</t>
  </si>
  <si>
    <t>Ukrainian</t>
  </si>
  <si>
    <t>Urdu</t>
  </si>
  <si>
    <t>Uzbek</t>
  </si>
  <si>
    <t>Venda</t>
  </si>
  <si>
    <t>Vietnamese</t>
  </si>
  <si>
    <t>Volapük</t>
  </si>
  <si>
    <t>Walloon</t>
  </si>
  <si>
    <t>Wolof</t>
  </si>
  <si>
    <t>Xhosa</t>
  </si>
  <si>
    <t>Yiddish</t>
  </si>
  <si>
    <t>Yoruba</t>
  </si>
  <si>
    <t>Zhuang</t>
  </si>
  <si>
    <t>Standard Moroccan Tamazight</t>
  </si>
  <si>
    <t>Chinese</t>
  </si>
  <si>
    <t>Zulu</t>
  </si>
  <si>
    <t>hier_CS_12</t>
  </si>
  <si>
    <t>Regular reporting</t>
  </si>
  <si>
    <t>Ad-hoc reporting</t>
  </si>
  <si>
    <t>Re-submission of S.30 templates in accordance with instructions of the template</t>
  </si>
  <si>
    <t>Empty submission</t>
  </si>
  <si>
    <t>hier_CU_5</t>
  </si>
  <si>
    <t>BOV</t>
  </si>
  <si>
    <t>BYR</t>
  </si>
  <si>
    <t>CDF</t>
  </si>
  <si>
    <t>CHE</t>
  </si>
  <si>
    <t>CHF</t>
  </si>
  <si>
    <t>CHW</t>
  </si>
  <si>
    <t>CLF</t>
  </si>
  <si>
    <t>CLP</t>
  </si>
  <si>
    <t>CNY</t>
  </si>
  <si>
    <t>COU</t>
  </si>
  <si>
    <t>EEK</t>
  </si>
  <si>
    <t>LTL</t>
  </si>
  <si>
    <t>LVL</t>
  </si>
  <si>
    <t>MRU</t>
  </si>
  <si>
    <t>MXV</t>
  </si>
  <si>
    <t>SSP</t>
  </si>
  <si>
    <t>STN</t>
  </si>
  <si>
    <t>USN</t>
  </si>
  <si>
    <t>USS</t>
  </si>
  <si>
    <t>UYI</t>
  </si>
  <si>
    <t>UYW</t>
  </si>
  <si>
    <t>VES</t>
  </si>
  <si>
    <t>XAG</t>
  </si>
  <si>
    <t>XAU</t>
  </si>
  <si>
    <t>XBA</t>
  </si>
  <si>
    <t>XBB</t>
  </si>
  <si>
    <t>XBC</t>
  </si>
  <si>
    <t>XBD</t>
  </si>
  <si>
    <t>XFU</t>
  </si>
  <si>
    <t>XPD</t>
  </si>
  <si>
    <t>XPT</t>
  </si>
  <si>
    <t>XSU</t>
  </si>
  <si>
    <t>XTS</t>
  </si>
  <si>
    <t>XUA</t>
  </si>
  <si>
    <t>ZMK</t>
  </si>
  <si>
    <t>ZWL</t>
  </si>
  <si>
    <t>Temporary identifier for currency 1</t>
  </si>
  <si>
    <t>Temporary identifier for currency 2</t>
  </si>
  <si>
    <t>Temporary identifier for currency 3</t>
  </si>
  <si>
    <t>hier_AM_11</t>
  </si>
  <si>
    <t>IFRS</t>
  </si>
  <si>
    <t>Local GAAP</t>
  </si>
  <si>
    <t>hier_AP_3</t>
  </si>
  <si>
    <t>Standard formula</t>
  </si>
  <si>
    <t>Partial internal model</t>
  </si>
  <si>
    <t>Full internal model</t>
  </si>
  <si>
    <t>hier_AP_4</t>
  </si>
  <si>
    <t>Use of undertaking specific parameters</t>
  </si>
  <si>
    <t>Don’t use undertaking specific parameters</t>
  </si>
  <si>
    <t>hier_PU_23</t>
  </si>
  <si>
    <t>Reporting activity by RFF</t>
  </si>
  <si>
    <t>Not reporting activity by RFF</t>
  </si>
  <si>
    <t>hier_PU_15</t>
  </si>
  <si>
    <t>Use of matching adjustment</t>
  </si>
  <si>
    <t>No use of matching adjustment</t>
  </si>
  <si>
    <t>hier_AP_5</t>
  </si>
  <si>
    <t>Use of volatility adjustment</t>
  </si>
  <si>
    <t>No use of volatility adjustment</t>
  </si>
  <si>
    <t>hier_AP_6</t>
  </si>
  <si>
    <t>Use of transitional measure on the risk-free interest rate</t>
  </si>
  <si>
    <t>No use of transitional measure on the risk-free interest rate</t>
  </si>
  <si>
    <t>hier_AP_7</t>
  </si>
  <si>
    <t>Use of transitional measure on technical provisions</t>
  </si>
  <si>
    <t>No use of transitional measure on technical provisions</t>
  </si>
  <si>
    <t>hier_CS_13</t>
  </si>
  <si>
    <t>Initial submission</t>
  </si>
  <si>
    <t>Re-submission</t>
  </si>
  <si>
    <t>hier_CN_127</t>
  </si>
  <si>
    <t>Exempted for assets (based on article 35(6) and (7))</t>
  </si>
  <si>
    <t>Exempted for assets (based on outsourcing)</t>
  </si>
  <si>
    <t>Exempted for derivatives (based on article 35(6) and (7))</t>
  </si>
  <si>
    <t>Exempted for derivatives (based on outsourcing)</t>
  </si>
  <si>
    <t>Exempted for assets and derivatives (based on article 35(6) and (7))</t>
  </si>
  <si>
    <t>Exempted for assets and derivatives (based on outsourcing)</t>
  </si>
  <si>
    <t>Not exempted</t>
  </si>
  <si>
    <t>hier_PU_37</t>
  </si>
  <si>
    <t>Ring Fenced Funds</t>
  </si>
  <si>
    <t>Matching Adjustment Portfolios</t>
  </si>
  <si>
    <t>Remaining part of a fund</t>
  </si>
  <si>
    <t>hier_PU_17</t>
  </si>
  <si>
    <t>Fund with other funds embedded</t>
  </si>
  <si>
    <t>Not a fund with other funds embedded</t>
  </si>
  <si>
    <t>hier_AP_11</t>
  </si>
  <si>
    <t>Material</t>
  </si>
  <si>
    <t>Not material</t>
  </si>
  <si>
    <t>hier_AP_9</t>
  </si>
  <si>
    <t>RFF under article 304 - with the option for the equity risk sub-module</t>
  </si>
  <si>
    <t>RFF under article 304 - without the option for the equity risk sub-module</t>
  </si>
  <si>
    <t>RFF not under article 304</t>
  </si>
  <si>
    <t>hier_PU_34</t>
  </si>
  <si>
    <t>hier_CS_11</t>
  </si>
  <si>
    <t>Belonging to the same group</t>
  </si>
  <si>
    <t>Not belonging to the same group</t>
  </si>
  <si>
    <t>hier_LT_1</t>
  </si>
  <si>
    <t>Bankruptcy filing ISDA credit event</t>
  </si>
  <si>
    <t>Downgrading by a rating agency</t>
  </si>
  <si>
    <t>Fall of SCR below a threshold but higher than 100 %</t>
  </si>
  <si>
    <t>Fall of MCR below a threshold but higher than 100 %</t>
  </si>
  <si>
    <t>Breach of SCR</t>
  </si>
  <si>
    <t>Breach of MCR</t>
  </si>
  <si>
    <t>Non-payment of a contractual obligation</t>
  </si>
  <si>
    <t>Fraud</t>
  </si>
  <si>
    <t>Breach of contractual obligation linked with the disposal of assets</t>
  </si>
  <si>
    <t>Breach of contractual obligation linked with the acquisition of assets</t>
  </si>
  <si>
    <t>Other than bankruptcy filing ISDA credit event, downgrading by a rating agency, fall of SCR / MCR below a threshold but higher than 100 %, breach of SCR, breach of MCR, non-payment of a contractual obligation, fraud, breach of contractual obligation linked with the disposal of assets and breach of contractual obligation linked with the acquisition of assets</t>
  </si>
  <si>
    <t>hier_EL_7</t>
  </si>
  <si>
    <t>Total/NA</t>
  </si>
  <si>
    <t>Ancillary own funds</t>
  </si>
  <si>
    <t>Other than ancillary own funds</t>
  </si>
  <si>
    <t>hier_LB_52</t>
  </si>
  <si>
    <t>Medical expense insurance [direct business]</t>
  </si>
  <si>
    <t>Income protection insurance [direct business]</t>
  </si>
  <si>
    <t>Workers' compensation insurance [direct business]</t>
  </si>
  <si>
    <t>Motor vehicle liability insurance [direct business]</t>
  </si>
  <si>
    <t>Other motor insurance [direct business]</t>
  </si>
  <si>
    <t>Marine, aviation and transport insurance [direct business]</t>
  </si>
  <si>
    <t>Fire and other damage to property insurance [direct business]</t>
  </si>
  <si>
    <t>General liability insurance [direct business]</t>
  </si>
  <si>
    <t>Credit and suretyship insurance [direct business]</t>
  </si>
  <si>
    <t>Legal expenses insurance [direct business]</t>
  </si>
  <si>
    <t>Assistance [direct business]</t>
  </si>
  <si>
    <t>Miscellaneous financial loss [direct business]</t>
  </si>
  <si>
    <t>Medical expense insurance [accepted proportional reinsurance]</t>
  </si>
  <si>
    <t>Income protection insurance [accepted proportional reinsurance]</t>
  </si>
  <si>
    <t>Workers' compensation insurance [accepted proportional reinsurance]</t>
  </si>
  <si>
    <t>Motor vehicle liability insurance [accepted proportional reinsurance]</t>
  </si>
  <si>
    <t>Other motor insurance [accepted proportional reinsurance]</t>
  </si>
  <si>
    <t>Marine, aviation and transport insurance [accepted proportional reinsurance]</t>
  </si>
  <si>
    <t>Fire and other damage to property insurance [accepted proportional reinsurance]</t>
  </si>
  <si>
    <t>General liability insurance [accepted proportional reinsurance]</t>
  </si>
  <si>
    <t>Credit and suretyship insurance [accepted proportional reinsurance]</t>
  </si>
  <si>
    <t>Legal expenses insurance [accepted proportional reinsurance]</t>
  </si>
  <si>
    <t>Assistance [accepted proportional reinsurance]</t>
  </si>
  <si>
    <t>Miscellaneous financial loss [accepted proportional reinsurance]</t>
  </si>
  <si>
    <t>Health [accepted non-proportional reinsurance]</t>
  </si>
  <si>
    <t>Casualty [accepted non-proportional reinsurance]</t>
  </si>
  <si>
    <t>Marine, aviation, transport [accepted non-proportional reinsurance]</t>
  </si>
  <si>
    <t>Property [accepted non-proportional reinsurance]</t>
  </si>
  <si>
    <t>Health SLT</t>
  </si>
  <si>
    <t>Insurance with profit participation</t>
  </si>
  <si>
    <t>Unit-linked or index-linked</t>
  </si>
  <si>
    <t>Other life</t>
  </si>
  <si>
    <t>Annuities stemming from non-life insurance contracts and relating to health insurance obligations</t>
  </si>
  <si>
    <t>Annuities stemming from non-life insurance contracts and relating to insurance obligations other than health insurance obligations</t>
  </si>
  <si>
    <t>Health reinsurance</t>
  </si>
  <si>
    <t>Life reinsurance</t>
  </si>
  <si>
    <t>hier_GA_32</t>
  </si>
  <si>
    <t>hier_GA_33</t>
  </si>
  <si>
    <t>hier_GA_18</t>
  </si>
  <si>
    <t>hier_PU_33</t>
  </si>
  <si>
    <t>Life [split applicable]</t>
  </si>
  <si>
    <t>Non-life [split applicable]</t>
  </si>
  <si>
    <t>Other internal funds</t>
  </si>
  <si>
    <t>Shareholders' funds</t>
  </si>
  <si>
    <t>General [no split]</t>
  </si>
  <si>
    <t>hier_LB_4</t>
  </si>
  <si>
    <t>Neither unit-linked nor index-linked</t>
  </si>
  <si>
    <t>hier_CG_2</t>
  </si>
  <si>
    <t>Collateral pledged [CP]</t>
  </si>
  <si>
    <t>Collateral for reinsurance accepted [CR]</t>
  </si>
  <si>
    <t>Collateral for securities borrowed [CB]</t>
  </si>
  <si>
    <t>Repos [R]</t>
  </si>
  <si>
    <t>Not collateral</t>
  </si>
  <si>
    <t>hier_VM_23</t>
  </si>
  <si>
    <t>Quoted market price in active markets for the same assets</t>
  </si>
  <si>
    <t>Quoted market price in active markets for similar assets</t>
  </si>
  <si>
    <t>Alternative valuation methods</t>
  </si>
  <si>
    <t>Adjusted equity methods - applicable for the valuation of participations [AEM]</t>
  </si>
  <si>
    <t>IFRS equity methods - applicable for the valuation of participations [IEM]</t>
  </si>
  <si>
    <t>Market valuation according to article 9(4) of Delegated Regulation 2015/35</t>
  </si>
  <si>
    <t>hier_NC_1</t>
  </si>
  <si>
    <t>A - Agriculture, forestry and fishing</t>
  </si>
  <si>
    <t>A1 - Crop and animal production, hunting and related service activities</t>
  </si>
  <si>
    <t>A1.1 - Growing of non-perennial crops</t>
  </si>
  <si>
    <t>A1.1.1 - Growing of cereals (except rice), leguminous crops and oil seeds</t>
  </si>
  <si>
    <t>A1.1.2 - Growing of rice</t>
  </si>
  <si>
    <t>A1.1.3 - Growing of vegetables and melons, roots and tubers</t>
  </si>
  <si>
    <t>A1.1.4 - Growing of sugar cane</t>
  </si>
  <si>
    <t>A1.1.5 - Growing of tobacco</t>
  </si>
  <si>
    <t>A1.1.6 - Growing of fibre crops</t>
  </si>
  <si>
    <t>A1.1.9 - Growing of other non-perennial crops</t>
  </si>
  <si>
    <t>A1.2 - Growing of perennial crops</t>
  </si>
  <si>
    <t>A1.2.1 - Growing of grapes</t>
  </si>
  <si>
    <t>A1.2.2 - Growing of tropical and subtropical fruits</t>
  </si>
  <si>
    <t>A1.2.3 - Growing of citrus fruits</t>
  </si>
  <si>
    <t>A1.2.4 - Growing of pome fruits and stone fruits</t>
  </si>
  <si>
    <t>A1.2.5 - Growing of other tree and bush fruits and nuts</t>
  </si>
  <si>
    <t>A1.2.6 - Growing of oleaginous fruits</t>
  </si>
  <si>
    <t>A1.2.7 - Growing of beverage crops</t>
  </si>
  <si>
    <t>A1.2.8 - Growing of spices, aromatic, drug and pharmaceutical crops</t>
  </si>
  <si>
    <t>A1.2.9 - Growing of other perennial crops</t>
  </si>
  <si>
    <t>A1.3 - Plant propagation</t>
  </si>
  <si>
    <t>A1.3.0 - Plant propagation</t>
  </si>
  <si>
    <t>A1.4 - Animal production</t>
  </si>
  <si>
    <t>A1.4.1 - Raising of dairy cattle</t>
  </si>
  <si>
    <t>A1.4.2 - Raising of other cattle and buffaloes</t>
  </si>
  <si>
    <t>A1.4.3 - Raising of horses and other equines</t>
  </si>
  <si>
    <t>A1.4.4 - Raising of camels and camelids</t>
  </si>
  <si>
    <t>A1.4.5 - Raising of sheep and goats</t>
  </si>
  <si>
    <t>A1.4.6 - Raising of swine/pigs</t>
  </si>
  <si>
    <t>A1.4.7 - Raising of poultry</t>
  </si>
  <si>
    <t>A1.4.9 - Raising of other animals</t>
  </si>
  <si>
    <t>A1.5 - Mixed farming</t>
  </si>
  <si>
    <t>A1.5.0 - Mixed farming</t>
  </si>
  <si>
    <t>A1.6 - Support activities to agriculture and post-harvest crop activities</t>
  </si>
  <si>
    <t>A1.6.1 - Support activities for crop production</t>
  </si>
  <si>
    <t>A1.6.2 - Support activities for animal production</t>
  </si>
  <si>
    <t>A1.6.3 - Post-harvest crop activities</t>
  </si>
  <si>
    <t>A1.6.4 - Seed processing for propagation</t>
  </si>
  <si>
    <t>A1.7 - Hunting, trapping and related service activities</t>
  </si>
  <si>
    <t>A1.7.0 - Hunting, trapping and related service activities</t>
  </si>
  <si>
    <t>A2 - Forestry and logging</t>
  </si>
  <si>
    <t>A2.1 - Silviculture and other forestry activities</t>
  </si>
  <si>
    <t>A2.1.0 - Silviculture and other forestry activities</t>
  </si>
  <si>
    <t>A2.2 - Logging</t>
  </si>
  <si>
    <t>A2.2.0 - Logging</t>
  </si>
  <si>
    <t>A2.3 - Gathering of wild growing non-wood products</t>
  </si>
  <si>
    <t>A2.3.0 - Gathering of wild growing non-wood products</t>
  </si>
  <si>
    <t>A2.4 - Support services to forestry</t>
  </si>
  <si>
    <t>A2.4.0 - Support services to forestry</t>
  </si>
  <si>
    <t>A3 - Fishing and aquaculture</t>
  </si>
  <si>
    <t>A3.1 - Fishing</t>
  </si>
  <si>
    <t>A3.1.1 - Marine fishing</t>
  </si>
  <si>
    <t>A3.1.2 - Freshwater fishing</t>
  </si>
  <si>
    <t>A3.2 - Aquaculture</t>
  </si>
  <si>
    <t>A3.2.1 - Marine aquaculture</t>
  </si>
  <si>
    <t>A3.2.2 - Freshwater aquaculture</t>
  </si>
  <si>
    <t>B - Mining and quarrying</t>
  </si>
  <si>
    <t>B5 - Mining of coal and lignite</t>
  </si>
  <si>
    <t>B5.1 - Mining of hard coal</t>
  </si>
  <si>
    <t>B5.1.0 - Mining of hard coal</t>
  </si>
  <si>
    <t>B5.2 - Mining of lignite</t>
  </si>
  <si>
    <t>B5.2.0 - Mining of lignite</t>
  </si>
  <si>
    <t>B6 - Extraction of crude petroleum and natural gas</t>
  </si>
  <si>
    <t>B6.1 - Extraction of crude petroleum</t>
  </si>
  <si>
    <t>B6.1.0 - Extraction of crude petroleum</t>
  </si>
  <si>
    <t>B6.2 - Extraction of natural gas</t>
  </si>
  <si>
    <t>B6.2.0 - Extraction of natural gas</t>
  </si>
  <si>
    <t>B7 - Mining of metal ores</t>
  </si>
  <si>
    <t>B7.1 - Mining of iron ores</t>
  </si>
  <si>
    <t>B7.1.0 - Mining of iron ores</t>
  </si>
  <si>
    <t>B7.2 - Mining of non-ferrous metal ores</t>
  </si>
  <si>
    <t>B7.2.1 - Mining of uranium and thorium ores</t>
  </si>
  <si>
    <t>B7.2.9 - Mining of other non-ferrous metal ores</t>
  </si>
  <si>
    <t>B8 - Other mining and quarrying</t>
  </si>
  <si>
    <t>B8.1 - Quarrying of stone, sand and clay</t>
  </si>
  <si>
    <t>B8.1.1 - Quarrying of ornamental and building stone, limestone, gypsum, chalk and slate</t>
  </si>
  <si>
    <t>B8.1.2 - Operation of gravel and sand pits; mining of clays and kaolin</t>
  </si>
  <si>
    <t>B8.9 - Mining and quarrying n.e.c.</t>
  </si>
  <si>
    <t>B8.9.1 - Mining of chemical and fertiliser minerals</t>
  </si>
  <si>
    <t>B8.9.2 - Extraction of peat</t>
  </si>
  <si>
    <t>B8.9.3 - Extraction of salt</t>
  </si>
  <si>
    <t>B8.9.9 - Other mining and quarrying n.e.c.</t>
  </si>
  <si>
    <t>B9 - Mining support service activities</t>
  </si>
  <si>
    <t>B9.1 - Support activities for petroleum and natural gas extraction</t>
  </si>
  <si>
    <t>B9.1.0 - Support activities for petroleum and natural gas extraction</t>
  </si>
  <si>
    <t>B9.9 - Support activities for other mining and quarrying</t>
  </si>
  <si>
    <t>B9.9.0 - Support activities for other mining and quarrying</t>
  </si>
  <si>
    <t>C - Manufacturing</t>
  </si>
  <si>
    <t>C10 - Manufacture of food products</t>
  </si>
  <si>
    <t>C10.1 - Processing and preserving of meat and production of meat products</t>
  </si>
  <si>
    <t>C10.1.1 - Processing and preserving of meat</t>
  </si>
  <si>
    <t>C10.1.2 - Processing and preserving of poultry meat</t>
  </si>
  <si>
    <t>C10.1.3 - Production of meat and poultry meat products</t>
  </si>
  <si>
    <t>C10.2 - Processing and preserving of fish, crustaceans and molluscs</t>
  </si>
  <si>
    <t>C10.2.0 - Processing and preserving of fish, crustaceans and molluscs</t>
  </si>
  <si>
    <t>C10.3 - Processing and preserving of fruit and vegetables</t>
  </si>
  <si>
    <t>C10.3.1 - Processing and preserving of potatoes</t>
  </si>
  <si>
    <t>C10.3.2 - Manufacture of fruit and vegetable juice</t>
  </si>
  <si>
    <t>C10.3.9 - Other processing and preserving of fruit and vegetables</t>
  </si>
  <si>
    <t>C10.4 - Manufacture of vegetable and animal oils and fats</t>
  </si>
  <si>
    <t>C10.4.1 - Manufacture of oils and fats</t>
  </si>
  <si>
    <t>C10.4.2 - Manufacture of margarine and similar edible fats</t>
  </si>
  <si>
    <t>C10.5 - Manufacture of dairy products</t>
  </si>
  <si>
    <t>C10.5.1 - Operation of dairies and cheese making</t>
  </si>
  <si>
    <t>C10.5.2 - Manufacture of ice cream</t>
  </si>
  <si>
    <t>C10.6 - Manufacture of grain mill products, starches and starch products</t>
  </si>
  <si>
    <t>C10.6.1 - Manufacture of grain mill products</t>
  </si>
  <si>
    <t>C10.6.2 - Manufacture of starches and starch products</t>
  </si>
  <si>
    <t>C10.7 - Manufacture of bakery and farinaceous products</t>
  </si>
  <si>
    <t>C10.7.1 - Manufacture of bread; manufacture of fresh pastry goods and cakes</t>
  </si>
  <si>
    <t>C10.7.2 - Manufacture of rusks and biscuits; manufacture of preserved pastry goods and cakes</t>
  </si>
  <si>
    <t>C10.7.3 - Manufacture of macaroni, noodles, couscous and similar farinaceous products</t>
  </si>
  <si>
    <t>C10.8 - Manufacture of other food products</t>
  </si>
  <si>
    <t>C10.8.1 - Manufacture of sugar</t>
  </si>
  <si>
    <t>C10.8.2 - Manufacture of cocoa, chocolate and sugar confectionery</t>
  </si>
  <si>
    <t>C10.8.3 - Processing of tea and coffee</t>
  </si>
  <si>
    <t>C10.8.4 - Manufacture of condiments and seasonings</t>
  </si>
  <si>
    <t>C10.8.5 - Manufacture of prepared meals and dishes</t>
  </si>
  <si>
    <t>C10.8.6 - Manufacture of homogenised food preparations and dietetic food</t>
  </si>
  <si>
    <t>C10.8.9 - Manufacture of other food products n.e.c.</t>
  </si>
  <si>
    <t>C10.9 - Manufacture of prepared animal feeds</t>
  </si>
  <si>
    <t>C10.9.1 - Manufacture of prepared feeds for farm animals</t>
  </si>
  <si>
    <t>C10.9.2 - Manufacture of prepared pet foods</t>
  </si>
  <si>
    <t>C11 - Manufacture of beverages</t>
  </si>
  <si>
    <t>C11.0 - Manufacture of beverages</t>
  </si>
  <si>
    <t>C11.0.1 - Distilling, rectifying and blending of spirits</t>
  </si>
  <si>
    <t>C11.0.2 - Manufacture of wine from grape</t>
  </si>
  <si>
    <t>C11.0.3 - Manufacture of cider and other fruit wines</t>
  </si>
  <si>
    <t>C11.0.4 - Manufacture of other non-distilled fermented beverages</t>
  </si>
  <si>
    <t>C11.0.5 - Manufacture of beer</t>
  </si>
  <si>
    <t>C11.0.6 - Manufacture of malt</t>
  </si>
  <si>
    <t>C11.0.7 - Manufacture of soft drinks; production of mineral waters and other bottled waters</t>
  </si>
  <si>
    <t>C12 - Manufacture of tobacco products</t>
  </si>
  <si>
    <t>C12.0 - Manufacture of tobacco products</t>
  </si>
  <si>
    <t>C12.0.0 - Manufacture of tobacco products</t>
  </si>
  <si>
    <t>C13 - Manufacture of textiles</t>
  </si>
  <si>
    <t>C13.1 - Preparation and spinning of textile fibres</t>
  </si>
  <si>
    <t>C13.1.0 - Preparation and spinning of textile fibres</t>
  </si>
  <si>
    <t>C13.2 - Weaving of textiles</t>
  </si>
  <si>
    <t>C13.2.0 - Weaving of textiles</t>
  </si>
  <si>
    <t>C13.3 - Finishing of textiles</t>
  </si>
  <si>
    <t>C13.3.0 - Finishing of textiles</t>
  </si>
  <si>
    <t>C13.9 - Manufacture of other textiles</t>
  </si>
  <si>
    <t>C13.9.1 - Manufacture of knitted and crocheted fabrics</t>
  </si>
  <si>
    <t>C13.9.2 - Manufacture of made-up textile articles, except apparel</t>
  </si>
  <si>
    <t>C13.9.3 - Manufacture of carpets and rugs</t>
  </si>
  <si>
    <t>C13.9.4 - Manufacture of cordage, rope, twine and netting</t>
  </si>
  <si>
    <t>C13.9.5 - Manufacture of non-wovens and articles made from non-wovens, except apparel</t>
  </si>
  <si>
    <t>C13.9.6 - Manufacture of other technical and industrial textiles</t>
  </si>
  <si>
    <t>C13.9.9 - Manufacture of other textiles n.e.c.</t>
  </si>
  <si>
    <t>C14 - Manufacture of wearing apparel</t>
  </si>
  <si>
    <t>C14.1 - Manufacture of wearing apparel, except fur apparel</t>
  </si>
  <si>
    <t>C14.1.1 - Manufacture of leather clothes</t>
  </si>
  <si>
    <t>C14.1.2 - Manufacture of workwear</t>
  </si>
  <si>
    <t>C14.1.3 - Manufacture of other outerwear</t>
  </si>
  <si>
    <t>C14.1.4 - Manufacture of underwear</t>
  </si>
  <si>
    <t>C14.1.9 - Manufacture of other wearing apparel and accessories</t>
  </si>
  <si>
    <t>C14.2 - Manufacture of articles of fur</t>
  </si>
  <si>
    <t>C14.2.0 - Manufacture of articles of fur</t>
  </si>
  <si>
    <t>C14.3 - Manufacture of knitted and crocheted apparel</t>
  </si>
  <si>
    <t>C14.3.1 - Manufacture of knitted and crocheted hosiery</t>
  </si>
  <si>
    <t>C14.3.9 - Manufacture of other knitted and crocheted apparel</t>
  </si>
  <si>
    <t>C15 - Manufacture of leather and related products</t>
  </si>
  <si>
    <t>C15.1 - Tanning and dressing of leather; manufacture of luggage, handbags, saddlery and harness; dressing and dyeing of fur</t>
  </si>
  <si>
    <t>C15.1.1 - Tanning and dressing of leather; dressing and dyeing of fur</t>
  </si>
  <si>
    <t>C15.1.2 - Manufacture of luggage, handbags and the like, saddlery and harness</t>
  </si>
  <si>
    <t>C15.2 - Manufacture of footwear</t>
  </si>
  <si>
    <t>C15.2.0 - Manufacture of footwear</t>
  </si>
  <si>
    <t>C16 - Manufacture of wood and of products of wood and cork, except furniture; manufacture of articles of straw and plaiting materials</t>
  </si>
  <si>
    <t>C16.1 - Sawmilling and planing of wood</t>
  </si>
  <si>
    <t>C16.1.0 - Sawmilling and planing of wood</t>
  </si>
  <si>
    <t>C16.2 - Manufacture of products of wood, cork, straw and plaiting materials</t>
  </si>
  <si>
    <t>C16.2.1 - Manufacture of veneer sheets and wood-based panels</t>
  </si>
  <si>
    <t>C16.2.2 - Manufacture of assembled parquet floors</t>
  </si>
  <si>
    <t>C16.2.3 - Manufacture of other builders' carpentry and joinery</t>
  </si>
  <si>
    <t>C16.2.4 - Manufacture of wooden containers</t>
  </si>
  <si>
    <t>C16.2.9 - Manufacture of other products of wood; manufacture of articles of cork, straw and plaiting materials</t>
  </si>
  <si>
    <t>C17 - Manufacture of paper and paper products</t>
  </si>
  <si>
    <t>C17.1 - Manufacture of pulp, paper and paperboard</t>
  </si>
  <si>
    <t>C17.1.1 - Manufacture of pulp</t>
  </si>
  <si>
    <t>C17.1.2 - Manufacture of paper and paperboard</t>
  </si>
  <si>
    <t>C17.2 - Manufacture of articles of paper and paperboard</t>
  </si>
  <si>
    <t>C17.2.1 - Manufacture of corrugated paper and paperboard and of containers of paper and paperboard</t>
  </si>
  <si>
    <t>C17.2.2 - Manufacture of household and sanitary goods and of toilet requisites</t>
  </si>
  <si>
    <t>C17.2.3 - Manufacture of paper stationery</t>
  </si>
  <si>
    <t>C17.2.4 - Manufacture of wallpaper</t>
  </si>
  <si>
    <t>C17.2.9 - Manufacture of other articles of paper and paperboard</t>
  </si>
  <si>
    <t>C18 - Printing and reproduction of recorded media</t>
  </si>
  <si>
    <t>C18.1 - Printing and service activities related to printing</t>
  </si>
  <si>
    <t>C18.1.1 - Printing of newspapers</t>
  </si>
  <si>
    <t>C18.1.2 - Other printing</t>
  </si>
  <si>
    <t>C18.1.3 - Pre-press and pre-media services</t>
  </si>
  <si>
    <t>C18.1.4 - Binding and related services</t>
  </si>
  <si>
    <t>C18.2 - Reproduction of recorded media</t>
  </si>
  <si>
    <t>C18.2.0 - Reproduction of recorded media</t>
  </si>
  <si>
    <t>C19 - Manufacture of coke and refined petroleum products</t>
  </si>
  <si>
    <t>C19.1 - Manufacture of coke oven products</t>
  </si>
  <si>
    <t>C19.1.0 - Manufacture of coke oven products</t>
  </si>
  <si>
    <t>C19.2 - Manufacture of refined petroleum products</t>
  </si>
  <si>
    <t>C19.2.0 - Manufacture of refined petroleum products</t>
  </si>
  <si>
    <t>C20 - Manufacture of chemicals and chemical products</t>
  </si>
  <si>
    <t>C20.1 - Manufacture of basic chemicals, fertilisers and nitrogen compounds, plastics and synthetic rubber in primary forms</t>
  </si>
  <si>
    <t>C20.1.1 - Manufacture of industrial gases</t>
  </si>
  <si>
    <t>C20.1.2 - Manufacture of dyes and pigments</t>
  </si>
  <si>
    <t>C20.1.3 - Manufacture of other inorganic basic chemicals</t>
  </si>
  <si>
    <t>C20.1.4 - Manufacture of other organic basic chemicals</t>
  </si>
  <si>
    <t>C20.1.5 - Manufacture of fertilisers and nitrogen compounds</t>
  </si>
  <si>
    <t>C20.1.6 - Manufacture of plastics in primary forms</t>
  </si>
  <si>
    <t>C20.1.7 - Manufacture of synthetic rubber in primary forms</t>
  </si>
  <si>
    <t>C20.2 - Manufacture of pesticides and other agrochemical products</t>
  </si>
  <si>
    <t>C20.2.0 - Manufacture of pesticides and other agrochemical products</t>
  </si>
  <si>
    <t>C20.3 - Manufacture of paints, varnishes and similar coatings, printing ink and mastics</t>
  </si>
  <si>
    <t>C20.3.0 - Manufacture of paints, varnishes and similar coatings, printing ink and mastics</t>
  </si>
  <si>
    <t>C20.4 - Manufacture of soap and detergents, cleaning and polishing preparations, perfumes and toilet preparations</t>
  </si>
  <si>
    <t>C20.4.1 - Manufacture of soap and detergents, cleaning and polishing preparations</t>
  </si>
  <si>
    <t>C20.4.2 - Manufacture of perfumes and toilet preparations</t>
  </si>
  <si>
    <t>C20.5 - Manufacture of other chemical products</t>
  </si>
  <si>
    <t>C20.5.1 - Manufacture of explosives</t>
  </si>
  <si>
    <t>C20.5.2 - Manufacture of glues</t>
  </si>
  <si>
    <t>C20.5.3 - Manufacture of essential oils</t>
  </si>
  <si>
    <t>C20.5.9 - Manufacture of other chemical products n.e.c.</t>
  </si>
  <si>
    <t>C20.6 - Manufacture of man-made fibres</t>
  </si>
  <si>
    <t>C20.6.0 - Manufacture of man-made fibres</t>
  </si>
  <si>
    <t>C21 - Manufacture of basic pharmaceutical products and pharmaceutical preparations</t>
  </si>
  <si>
    <t>C21.1 - Manufacture of basic pharmaceutical products</t>
  </si>
  <si>
    <t>C21.1.0 - Manufacture of basic pharmaceutical products</t>
  </si>
  <si>
    <t>C21.2 - Manufacture of pharmaceutical preparations</t>
  </si>
  <si>
    <t>C21.2.0 - Manufacture of pharmaceutical preparations</t>
  </si>
  <si>
    <t>C22 - Manufacture of rubber and plastic products</t>
  </si>
  <si>
    <t>C22.1 - Manufacture of rubber products</t>
  </si>
  <si>
    <t>C22.1.1 - Manufacture of rubber tyres and tubes; retreading and rebuilding of rubber tyres</t>
  </si>
  <si>
    <t>C22.1.9 - Manufacture of other rubber products</t>
  </si>
  <si>
    <t>C22.2 - Manufacture of plastics products</t>
  </si>
  <si>
    <t>C22.2.1 - Manufacture of plastic plates, sheets, tubes and profiles</t>
  </si>
  <si>
    <t>C22.2.2 - Manufacture of plastic packing goods</t>
  </si>
  <si>
    <t>C22.2.3 - Manufacture of builders’ ware of plastic</t>
  </si>
  <si>
    <t>C22.2.9 - Manufacture of other plastic products</t>
  </si>
  <si>
    <t>C23 - Manufacture of other non-metallic mineral products</t>
  </si>
  <si>
    <t>C23.1 - Manufacture of glass and glass products</t>
  </si>
  <si>
    <t>C23.1.1 - Manufacture of flat glass</t>
  </si>
  <si>
    <t>C23.1.2 - Shaping and processing of flat glass</t>
  </si>
  <si>
    <t>C23.1.3 - Manufacture of hollow glass</t>
  </si>
  <si>
    <t>C23.1.4 - Manufacture of glass fibres</t>
  </si>
  <si>
    <t>C23.1.9 - Manufacture and processing of other glass, including technical glassware</t>
  </si>
  <si>
    <t>C23.2 - Manufacture of refractory products</t>
  </si>
  <si>
    <t>C23.2.0 - Manufacture of refractory products</t>
  </si>
  <si>
    <t>C23.3 - Manufacture of clay building materials</t>
  </si>
  <si>
    <t>C23.3.1 - Manufacture of ceramic tiles and flags</t>
  </si>
  <si>
    <t>C23.3.2 - Manufacture of bricks, tiles and construction products, in baked clay</t>
  </si>
  <si>
    <t>C23.4 - Manufacture of other porcelain and ceramic products</t>
  </si>
  <si>
    <t>C23.4.1 - Manufacture of ceramic household and ornamental articles</t>
  </si>
  <si>
    <t>C23.4.2 - Manufacture of ceramic sanitary fixtures</t>
  </si>
  <si>
    <t>C23.4.3 - Manufacture of ceramic insulators and insulating fittings</t>
  </si>
  <si>
    <t>C23.4.4 - Manufacture of other technical ceramic products</t>
  </si>
  <si>
    <t>C23.4.9 - Manufacture of other ceramic products</t>
  </si>
  <si>
    <t>C23.5 - Manufacture of cement, lime and plaster</t>
  </si>
  <si>
    <t>C23.5.1 - Manufacture of cement</t>
  </si>
  <si>
    <t>C23.5.2 - Manufacture of lime and plaster</t>
  </si>
  <si>
    <t>C23.6 - Manufacture of articles of concrete, cement and plaster</t>
  </si>
  <si>
    <t>C23.6.1 - Manufacture of concrete products for construction purposes</t>
  </si>
  <si>
    <t>C23.6.2 - Manufacture of plaster products for construction purposes</t>
  </si>
  <si>
    <t>C23.6.3 - Manufacture of ready-mixed concrete</t>
  </si>
  <si>
    <t>C23.6.4 - Manufacture of mortars</t>
  </si>
  <si>
    <t>C23.6.5 - Manufacture of fibre cement</t>
  </si>
  <si>
    <t>C23.6.9 - Manufacture of other articles of concrete, plaster and cement</t>
  </si>
  <si>
    <t>C23.7 - Cutting, shaping and finishing of stone</t>
  </si>
  <si>
    <t>C23.7.0 - Cutting, shaping and finishing of stone</t>
  </si>
  <si>
    <t>C23.9 - Manufacture of abrasive products and non-metallic mineral products n.e.c.</t>
  </si>
  <si>
    <t>C23.9.1 - Production of abrasive products</t>
  </si>
  <si>
    <t>C23.9.9 - Manufacture of other non-metallic mineral products n.e.c.</t>
  </si>
  <si>
    <t>C24 - Manufacture of basic metals</t>
  </si>
  <si>
    <t>C24.1 - Manufacture of basic iron and steel and of ferro-alloys</t>
  </si>
  <si>
    <t>C24.1.0 - Manufacture of basic iron and steel and of ferro-alloys</t>
  </si>
  <si>
    <t>C24.2 - Manufacture of tubes, pipes, hollow profiles and related fittings, of steel</t>
  </si>
  <si>
    <t>C24.2.0 - Manufacture of tubes, pipes, hollow profiles and related fittings, of steel</t>
  </si>
  <si>
    <t>C24.3 - Manufacture of other products of first processing of steel</t>
  </si>
  <si>
    <t>C24.3.1 - Cold drawing of bars</t>
  </si>
  <si>
    <t>C24.3.2 - Cold rolling of narrow strip</t>
  </si>
  <si>
    <t>C24.3.3 - Cold forming or folding</t>
  </si>
  <si>
    <t>C24.3.4 - Cold drawing of wire</t>
  </si>
  <si>
    <t>C24.4 - Manufacture of basic precious and other non-ferrous metals</t>
  </si>
  <si>
    <t>C24.4.1 - Precious metals production</t>
  </si>
  <si>
    <t>C24.4.2 - Aluminium production</t>
  </si>
  <si>
    <t>C24.4.3 - Lead, zinc and tin production</t>
  </si>
  <si>
    <t>C24.4.4 - Copper production</t>
  </si>
  <si>
    <t>C24.4.5 - Other non-ferrous metal production</t>
  </si>
  <si>
    <t>C24.4.6 - Processing of nuclear fuel</t>
  </si>
  <si>
    <t>C24.5 - Casting of metals</t>
  </si>
  <si>
    <t>C24.5.1 - Casting of iron</t>
  </si>
  <si>
    <t>C24.5.2 - Casting of steel</t>
  </si>
  <si>
    <t>C24.5.3 - Casting of light metals</t>
  </si>
  <si>
    <t>C24.5.4 - Casting of other non-ferrous metals</t>
  </si>
  <si>
    <t>C25 - Manufacture of fabricated metal products, except machinery and equipment</t>
  </si>
  <si>
    <t>C25.1 - Manufacture of structural metal products</t>
  </si>
  <si>
    <t>C25.1.1 - Manufacture of metal structures and parts of structures</t>
  </si>
  <si>
    <t>C25.1.2 - Manufacture of doors and windows of metal</t>
  </si>
  <si>
    <t>C25.2 - Manufacture of tanks, reservoirs and containers of metal</t>
  </si>
  <si>
    <t>C25.2.1 - Manufacture of central heating radiators and boilers</t>
  </si>
  <si>
    <t>C25.2.9 - Manufacture of other tanks, reservoirs and containers of metal</t>
  </si>
  <si>
    <t>C25.3 - Manufacture of steam generators, except central heating hot water boilers</t>
  </si>
  <si>
    <t>C25.3.0 - Manufacture of steam generators, except central heating hot water boilers</t>
  </si>
  <si>
    <t>C25.4 - Manufacture of weapons and ammunition</t>
  </si>
  <si>
    <t>C25.4.0 - Manufacture of weapons and ammunition</t>
  </si>
  <si>
    <t>C25.5 - Forging, pressing, stamping and roll-forming of metal; powder metallurgy</t>
  </si>
  <si>
    <t>C25.5.0 - Forging, pressing, stamping and roll-forming of metal; powder metallurgy</t>
  </si>
  <si>
    <t>C25.6 - Treatment and coating of metals; machining</t>
  </si>
  <si>
    <t>C25.6.1 - Treatment and coating of metals</t>
  </si>
  <si>
    <t>C25.6.2 - Machining</t>
  </si>
  <si>
    <t>C25.7 - Manufacture of cutlery, tools and general hardware</t>
  </si>
  <si>
    <t>C25.7.1 - Manufacture of cutlery</t>
  </si>
  <si>
    <t>C25.7.2 - Manufacture of locks and hinges</t>
  </si>
  <si>
    <t>C25.7.3 - Manufacture of tools</t>
  </si>
  <si>
    <t>C25.9 - Manufacture of other fabricated metal products</t>
  </si>
  <si>
    <t>C25.9.1 - Manufacture of steel drums and similar containers</t>
  </si>
  <si>
    <t>C25.9.2 - Manufacture of light metal packaging</t>
  </si>
  <si>
    <t>C25.9.3 - Manufacture of wire products, chain and springs</t>
  </si>
  <si>
    <t>C25.9.4 - Manufacture of fasteners and screw machine products</t>
  </si>
  <si>
    <t>C25.9.9 - Manufacture of other fabricated metal products n.e.c.</t>
  </si>
  <si>
    <t>C26 - Manufacture of computer, electronic and optical products</t>
  </si>
  <si>
    <t>C26.1 - Manufacture of electronic components and boards</t>
  </si>
  <si>
    <t>C26.1.1 - Manufacture of electronic components</t>
  </si>
  <si>
    <t>C26.1.2 - Manufacture of loaded electronic boards</t>
  </si>
  <si>
    <t>C26.2 - Manufacture of computers and peripheral equipment</t>
  </si>
  <si>
    <t>C26.2.0 - Manufacture of computers and peripheral equipment</t>
  </si>
  <si>
    <t>C26.3 - Manufacture of communication equipment</t>
  </si>
  <si>
    <t>C26.3.0 - Manufacture of communication equipment</t>
  </si>
  <si>
    <t>C26.4 - Manufacture of consumer electronics</t>
  </si>
  <si>
    <t>C26.4.0 - Manufacture of consumer electronics</t>
  </si>
  <si>
    <t>C26.5 - Manufacture of instruments and appliances for measuring, testing and navigation; watches and clocks</t>
  </si>
  <si>
    <t>C26.5.1 - Manufacture of instruments and appliances for measuring, testing and navigation</t>
  </si>
  <si>
    <t>C26.5.2 - Manufacture of watches and clocks</t>
  </si>
  <si>
    <t>C26.6 - Manufacture of irradiation, electromedical and electrotherapeutic equipment</t>
  </si>
  <si>
    <t>C26.6.0 - Manufacture of irradiation, electromedical and electrotherapeutic equipment</t>
  </si>
  <si>
    <t>C26.7 - Manufacture of optical instruments and photographic equipment</t>
  </si>
  <si>
    <t>C26.7.0 - Manufacture of optical instruments and photographic equipment</t>
  </si>
  <si>
    <t>C26.8 - Manufacture of magnetic and optical media</t>
  </si>
  <si>
    <t>C26.8.0 - Manufacture of magnetic and optical media</t>
  </si>
  <si>
    <t>C27 - Manufacture of electrical equipment</t>
  </si>
  <si>
    <t>C27.1 - Manufacture of electric motors, generators, transformers and electricity distribution and control apparatus</t>
  </si>
  <si>
    <t>C27.1.1 - Manufacture of electric motors, generators and transformers</t>
  </si>
  <si>
    <t>C27.1.2 - Manufacture of electricity distribution and control apparatus</t>
  </si>
  <si>
    <t>C27.2 - Manufacture of batteries and accumulators</t>
  </si>
  <si>
    <t>C27.2.0 - Manufacture of batteries and accumulators</t>
  </si>
  <si>
    <t>C27.3 - Manufacture of wiring and wiring devices</t>
  </si>
  <si>
    <t>C27.3.1 - Manufacture of fibre optic cables</t>
  </si>
  <si>
    <t>C27.3.2 - Manufacture of other electronic and electric wires and cables</t>
  </si>
  <si>
    <t>C27.3.3 - Manufacture of wiring devices</t>
  </si>
  <si>
    <t>C27.4 - Manufacture of electric lighting equipment</t>
  </si>
  <si>
    <t>C27.4.0 - Manufacture of electric lighting equipment</t>
  </si>
  <si>
    <t>C27.5 - Manufacture of domestic appliances</t>
  </si>
  <si>
    <t>C27.5.1 - Manufacture of electric domestic appliances</t>
  </si>
  <si>
    <t>C27.5.2 - Manufacture of non-electric domestic appliances</t>
  </si>
  <si>
    <t>C27.9 - Manufacture of other electrical equipment</t>
  </si>
  <si>
    <t>C27.9.0 - Manufacture of other electrical equipment</t>
  </si>
  <si>
    <t>C28 - Manufacture of machinery and equipment n.e.c.</t>
  </si>
  <si>
    <t>C28.1 - Manufacture of general-purpose machinery</t>
  </si>
  <si>
    <t>C28.1.1 - Manufacture of engines and turbines, except aircraft, vehicle and cycle engines</t>
  </si>
  <si>
    <t>C28.1.2 - Manufacture of fluid power equipment</t>
  </si>
  <si>
    <t>C28.1.3 - Manufacture of other pumps and compressors</t>
  </si>
  <si>
    <t>C28.1.4 - Manufacture of other taps and valves</t>
  </si>
  <si>
    <t>C28.1.5 - Manufacture of bearings, gears, gearing and driving elements</t>
  </si>
  <si>
    <t>C28.2 - Manufacture of other general-purpose machinery</t>
  </si>
  <si>
    <t>C28.2.1 - Manufacture of ovens, furnaces and furnace burners</t>
  </si>
  <si>
    <t>C28.2.2 - Manufacture of lifting and handling equipment</t>
  </si>
  <si>
    <t>C28.2.3 - Manufacture of office machinery and equipment (except computers and peripheral equipment)</t>
  </si>
  <si>
    <t>C28.2.4 - Manufacture of power-driven hand tools</t>
  </si>
  <si>
    <t>C28.2.5 - Manufacture of non-domestic cooling and ventilation equipment</t>
  </si>
  <si>
    <t>C28.2.9 - Manufacture of other general-purpose machinery n.e.c.</t>
  </si>
  <si>
    <t>C28.3 - Manufacture of agricultural and forestry machinery</t>
  </si>
  <si>
    <t>C28.3.0 - Manufacture of agricultural and forestry machinery</t>
  </si>
  <si>
    <t>C28.4 - Manufacture of metal forming machinery and machine tools</t>
  </si>
  <si>
    <t>C28.4.1 - Manufacture of metal forming machinery</t>
  </si>
  <si>
    <t>C28.4.9 - Manufacture of other machine tools</t>
  </si>
  <si>
    <t>C28.9 - Manufacture of other special-purpose machinery</t>
  </si>
  <si>
    <t>C28.9.1 - Manufacture of machinery for metallurgy</t>
  </si>
  <si>
    <t>C28.9.2 - Manufacture of machinery for mining, quarrying and construction</t>
  </si>
  <si>
    <t>C28.9.3 - Manufacture of machinery for food, beverage and tobacco processing</t>
  </si>
  <si>
    <t>C28.9.4 - Manufacture of machinery for textile, apparel and leather production</t>
  </si>
  <si>
    <t>C28.9.5 - Manufacture of machinery for paper and paperboard production</t>
  </si>
  <si>
    <t>C28.9.6 - Manufacture of plastics and rubber machinery</t>
  </si>
  <si>
    <t>C28.9.9 - Manufacture of other special-purpose machinery n.e.c.</t>
  </si>
  <si>
    <t>C29 - Manufacture of motor vehicles, trailers and semi-trailers</t>
  </si>
  <si>
    <t>C29.1 - Manufacture of motor vehicles</t>
  </si>
  <si>
    <t>C29.1.0 - Manufacture of motor vehicles</t>
  </si>
  <si>
    <t>C29.2 - Manufacture of bodies (coachwork) for motor vehicles; manufacture of trailers and semi-trailers</t>
  </si>
  <si>
    <t>C29.2.0 - Manufacture of bodies (coachwork) for motor vehicles; manufacture of trailers and semi-trailers</t>
  </si>
  <si>
    <t>C29.3 - Manufacture of parts and accessories for motor vehicles</t>
  </si>
  <si>
    <t>C29.3.1 - Manufacture of electrical and electronic equipment for motor vehicles</t>
  </si>
  <si>
    <t>C29.3.2 - Manufacture of other parts and accessories for motor vehicles</t>
  </si>
  <si>
    <t>C30 - Manufacture of other transport equipment</t>
  </si>
  <si>
    <t>C30.1 - Building of ships and boats</t>
  </si>
  <si>
    <t>C30.1.1 - Building of ships and floating structures</t>
  </si>
  <si>
    <t>C30.1.2 - Building of pleasure and sporting boats</t>
  </si>
  <si>
    <t>C30.2 - Manufacture of railway locomotives and rolling stock</t>
  </si>
  <si>
    <t>C30.2.0 - Manufacture of railway locomotives and rolling stock</t>
  </si>
  <si>
    <t>C30.3 - Manufacture of air and spacecraft and related machinery</t>
  </si>
  <si>
    <t>C30.3.0 - Manufacture of air and spacecraft and related machinery</t>
  </si>
  <si>
    <t>C30.4 - Manufacture of military fighting vehicles</t>
  </si>
  <si>
    <t>C30.4.0 - Manufacture of military fighting vehicles</t>
  </si>
  <si>
    <t>C30.9 - Manufacture of transport equipment n.e.c.</t>
  </si>
  <si>
    <t>C30.9.1 - Manufacture of motorcycles</t>
  </si>
  <si>
    <t>C30.9.2 - Manufacture of bicycles and invalid carriages</t>
  </si>
  <si>
    <t>C30.9.9 - Manufacture of other transport equipment n.e.c.</t>
  </si>
  <si>
    <t>C31 - Manufacture of furniture</t>
  </si>
  <si>
    <t>C31.0 - Manufacture of furniture</t>
  </si>
  <si>
    <t>C31.0.1 - Manufacture of office and shop furniture</t>
  </si>
  <si>
    <t>C31.0.2 - Manufacture of kitchen furniture</t>
  </si>
  <si>
    <t>C31.0.3 - Manufacture of mattresses</t>
  </si>
  <si>
    <t>C31.0.9 - Manufacture of other furniture</t>
  </si>
  <si>
    <t>C32 - Other manufacturing</t>
  </si>
  <si>
    <t>C32.1 - Manufacture of jewellery, bijouterie and related articles</t>
  </si>
  <si>
    <t>C32.1.1 - Striking of coins</t>
  </si>
  <si>
    <t>C32.1.2 - Manufacture of jewellery and related articles</t>
  </si>
  <si>
    <t>C32.1.3 - Manufacture of imitation jewellery and related articles</t>
  </si>
  <si>
    <t>C32.2 - Manufacture of musical instruments</t>
  </si>
  <si>
    <t>C32.2.0 - Manufacture of musical instruments</t>
  </si>
  <si>
    <t>C32.3 - Manufacture of sports goods</t>
  </si>
  <si>
    <t>C32.3.0 - Manufacture of sports goods</t>
  </si>
  <si>
    <t>C32.4 - Manufacture of games and toys</t>
  </si>
  <si>
    <t>C32.4.0 - Manufacture of games and toys</t>
  </si>
  <si>
    <t>C32.5 - Manufacture of medical and dental instruments and supplies</t>
  </si>
  <si>
    <t>C32.5.0 - Manufacture of medical and dental instruments and supplies</t>
  </si>
  <si>
    <t>C32.9 - Manufacturing n.e.c.</t>
  </si>
  <si>
    <t>C32.9.1 - Manufacture of brooms and brushes</t>
  </si>
  <si>
    <t>C32.9.9 - Other manufacturing n.e.c.</t>
  </si>
  <si>
    <t>C33 - Repair and installation of machinery and equipment</t>
  </si>
  <si>
    <t>C33.1 - Repair of fabricated metal products, machinery and equipment</t>
  </si>
  <si>
    <t>C33.1.1 - Repair of fabricated metal products</t>
  </si>
  <si>
    <t>C33.1.2 - Repair of machinery</t>
  </si>
  <si>
    <t>C33.1.3 - Repair of electronic and optical equipment</t>
  </si>
  <si>
    <t>C33.1.4 - Repair of electrical equipment</t>
  </si>
  <si>
    <t>C33.1.5 - Repair and maintenance of ships and boats</t>
  </si>
  <si>
    <t>C33.1.6 - Repair and maintenance of aircraft and spacecraft</t>
  </si>
  <si>
    <t>C33.1.7 - Repair and maintenance of other transport equipment</t>
  </si>
  <si>
    <t>C33.1.9 - Repair of other equipment</t>
  </si>
  <si>
    <t>C33.2 - Installation of industrial machinery and equipment</t>
  </si>
  <si>
    <t>C33.2.0 - Installation of industrial machinery and equipment</t>
  </si>
  <si>
    <t>D - Electricity, gas, steam and air conditioning supply</t>
  </si>
  <si>
    <t>D35 - Electricity, gas, steam and air conditioning supply</t>
  </si>
  <si>
    <t>D35.1 - Electric power generation, transmission and distribution</t>
  </si>
  <si>
    <t>D35.1.1 - Production of electricity</t>
  </si>
  <si>
    <t>D35.1.2 - Transmission of electricity</t>
  </si>
  <si>
    <t>D35.1.3 - Distribution of electricity</t>
  </si>
  <si>
    <t>D35.1.4 - Trade of electricity</t>
  </si>
  <si>
    <t>D35.2 - Manufacture of gas; distribution of gaseous fuels through mains</t>
  </si>
  <si>
    <t>D35.2.1 - Manufacture of gas</t>
  </si>
  <si>
    <t>D35.2.2 - Distribution of gaseous fuels through mains</t>
  </si>
  <si>
    <t>D35.2.3 - Trade of gas through mains</t>
  </si>
  <si>
    <t>D35.3 - Steam and air conditioning supply</t>
  </si>
  <si>
    <t>D35.3.0 - Steam and air conditioning supply</t>
  </si>
  <si>
    <t>E - Water supply; sewerage; waste management and remediation activities</t>
  </si>
  <si>
    <t>E36 - Water collection, treatment and supply</t>
  </si>
  <si>
    <t>E36.0 - Water collection, treatment and supply</t>
  </si>
  <si>
    <t>E36.0.0 - Water collection, treatment and supply</t>
  </si>
  <si>
    <t>E37 - Sewerage</t>
  </si>
  <si>
    <t>E37.0 - Sewerage</t>
  </si>
  <si>
    <t>E37.0.0 - Sewerage</t>
  </si>
  <si>
    <t>E38 - Waste collection, treatment and disposal activities; materials recovery</t>
  </si>
  <si>
    <t>E38.1 - Waste collection</t>
  </si>
  <si>
    <t>E38.1.1 - Collection of non-hazardous waste</t>
  </si>
  <si>
    <t>E38.1.2 - Collection of hazardous waste</t>
  </si>
  <si>
    <t>E38.2 - Waste treatment and disposal</t>
  </si>
  <si>
    <t>E38.2.1 - Treatment and disposal of non-hazardous waste</t>
  </si>
  <si>
    <t>E38.2.2 - Treatment and disposal of hazardous waste</t>
  </si>
  <si>
    <t>E38.3 - Materials recovery</t>
  </si>
  <si>
    <t>E38.3.1 - Dismantling of wrecks</t>
  </si>
  <si>
    <t>E38.3.2 - Recovery of sorted materials</t>
  </si>
  <si>
    <t>E39 - Remediation activities and other waste management services</t>
  </si>
  <si>
    <t>E39.0 - Remediation activities and other waste management services</t>
  </si>
  <si>
    <t>E39.0.0 - Remediation activities and other waste management services</t>
  </si>
  <si>
    <t>F - Construction</t>
  </si>
  <si>
    <t>F41 - Construction of buildings</t>
  </si>
  <si>
    <t>F41.1 - Development of building projects</t>
  </si>
  <si>
    <t>F41.1.0 - Development of building projects</t>
  </si>
  <si>
    <t>F41.2 - Construction of residential and non-residential buildings</t>
  </si>
  <si>
    <t>F41.2.0 - Construction of residential and non-residential buildings</t>
  </si>
  <si>
    <t>F42 - Civil engineering</t>
  </si>
  <si>
    <t>F42.1 - Construction of roads and railways</t>
  </si>
  <si>
    <t>F42.1.1 - Construction of roads and motorways</t>
  </si>
  <si>
    <t>F42.1.2 - Construction of railways and underground railways</t>
  </si>
  <si>
    <t>F42.1.3 - Construction of bridges and tunnels</t>
  </si>
  <si>
    <t>F42.2 - Construction of utility projects</t>
  </si>
  <si>
    <t>F42.2.1 - Construction of utility projects for fluids</t>
  </si>
  <si>
    <t>F42.2.2 - Construction of utility projects for electricity and telecommunications</t>
  </si>
  <si>
    <t>F42.9 - Construction of other civil engineering projects</t>
  </si>
  <si>
    <t>F42.9.1 - Construction of water projects</t>
  </si>
  <si>
    <t>F42.9.9 - Construction of other civil engineering projects n.e.c.</t>
  </si>
  <si>
    <t>F43 - Specialised construction activities</t>
  </si>
  <si>
    <t>F43.1 - Demolition and site preparation</t>
  </si>
  <si>
    <t>F43.1.1 - Demolition</t>
  </si>
  <si>
    <t>F43.1.2 - Site preparation</t>
  </si>
  <si>
    <t>F43.1.3 - Test drilling and boring</t>
  </si>
  <si>
    <t>F43.2 - Electrical, plumbing and other construction installation activities</t>
  </si>
  <si>
    <t>F43.2.1 - Electrical installation</t>
  </si>
  <si>
    <t>F43.2.2 - Plumbing, heat and air-conditioning installation</t>
  </si>
  <si>
    <t>F43.2.9 - Other construction installation</t>
  </si>
  <si>
    <t>F43.3 - Building completion and finishing</t>
  </si>
  <si>
    <t>F43.3.1 - Plastering</t>
  </si>
  <si>
    <t>F43.3.2 - Joinery installation</t>
  </si>
  <si>
    <t>F43.3.3 - Floor and wall covering</t>
  </si>
  <si>
    <t>F43.3.4 - Painting and glazing</t>
  </si>
  <si>
    <t>F43.3.9 - Other building completion and finishing</t>
  </si>
  <si>
    <t>F43.9 - Other specialised construction activities</t>
  </si>
  <si>
    <t>F43.9.1 - Roofing activities</t>
  </si>
  <si>
    <t>F43.9.9 - Other specialised construction activities n.e.c.</t>
  </si>
  <si>
    <t>G - Wholesale and retail trade; repair of motor vehicles and motorcycles</t>
  </si>
  <si>
    <t>G45 - Wholesale and retail trade and repair of motor vehicles and motorcycles</t>
  </si>
  <si>
    <t>G45.1 - Sale of motor vehicles</t>
  </si>
  <si>
    <t>G45.1.1 - Sale of cars and light motor vehicles</t>
  </si>
  <si>
    <t>G45.1.9 - Sale of other motor vehicles</t>
  </si>
  <si>
    <t>G45.2 - Maintenance and repair of motor vehicles</t>
  </si>
  <si>
    <t>G45.2.0 - Maintenance and repair of motor vehicles</t>
  </si>
  <si>
    <t>G45.3 - Sale of motor vehicle parts and accessories</t>
  </si>
  <si>
    <t>G45.3.1 - Wholesale trade of motor vehicle parts and accessories</t>
  </si>
  <si>
    <t>G45.3.2 - Retail trade of motor vehicle parts and accessories</t>
  </si>
  <si>
    <t>G45.4 - Sale, maintenance and repair of motorcycles and related parts and accessories</t>
  </si>
  <si>
    <t>G45.4.0 - Sale, maintenance and repair of motorcycles and related parts and accessories</t>
  </si>
  <si>
    <t>G46 - Wholesale trade, except of motor vehicles and motorcycles</t>
  </si>
  <si>
    <t>G46.1 - Wholesale on a fee or contract basis</t>
  </si>
  <si>
    <t>G46.1.1 - Agents involved in the sale of agricultural raw materials, live animals, textile raw materials and semi-finished goods</t>
  </si>
  <si>
    <t>G46.1.2 - Agents involved in the sale of fuels, ores, metals and industrial chemicals</t>
  </si>
  <si>
    <t>G46.1.3 - Agents involved in the sale of timber and building materials</t>
  </si>
  <si>
    <t>G46.1.4 - Agents involved in the sale of machinery, industrial equipment, ships and aircraft</t>
  </si>
  <si>
    <t>G46.1.5 - Agents involved in the sale of furniture, household goods, hardware and ironmongery</t>
  </si>
  <si>
    <t>G46.1.6 - Agents involved in the sale of textiles, clothing, fur, footwear and leather goods</t>
  </si>
  <si>
    <t>G46.1.7 - Agents involved in the sale of food, beverages and tobacco</t>
  </si>
  <si>
    <t>G46.1.8 - Agents specialised in the sale of other particular products</t>
  </si>
  <si>
    <t>G46.1.9 - Agents involved in the sale of a variety of goods</t>
  </si>
  <si>
    <t>G46.2 - Wholesale of agricultural raw materials and live animals</t>
  </si>
  <si>
    <t>G46.2.1 - Wholesale of grain, unmanufactured tobacco, seeds and animal feeds</t>
  </si>
  <si>
    <t>G46.2.2 - Wholesale of flowers and plants</t>
  </si>
  <si>
    <t>G46.2.3 - Wholesale of live animals</t>
  </si>
  <si>
    <t>G46.2.4 - Wholesale of hides, skins and leather</t>
  </si>
  <si>
    <t>G46.3 - Wholesale of food, beverages and tobacco</t>
  </si>
  <si>
    <t>G46.3.1 - Wholesale of fruit and vegetables</t>
  </si>
  <si>
    <t>G46.3.2 - Wholesale of meat and meat products</t>
  </si>
  <si>
    <t>G46.3.3 - Wholesale of dairy products, eggs and edible oils and fats</t>
  </si>
  <si>
    <t>G46.3.4 - Wholesale of beverages</t>
  </si>
  <si>
    <t>G46.3.5 - Wholesale of tobacco products</t>
  </si>
  <si>
    <t>G46.3.6 - Wholesale of sugar and chocolate and sugar confectionery</t>
  </si>
  <si>
    <t>G46.3.7 - Wholesale of coffee, tea, cocoa and spices</t>
  </si>
  <si>
    <t>G46.3.8 - Wholesale of other food, including fish, crustaceans and molluscs</t>
  </si>
  <si>
    <t>G46.3.9 - Non-specialised wholesale of food, beverages and tobacco</t>
  </si>
  <si>
    <t>G46.4 - Wholesale of household goods</t>
  </si>
  <si>
    <t>G46.4.1 - Wholesale of textiles</t>
  </si>
  <si>
    <t>G46.4.2 - Wholesale of clothing and footwear</t>
  </si>
  <si>
    <t>G46.4.3 - Wholesale of electrical household appliances</t>
  </si>
  <si>
    <t>G46.4.4 - Wholesale of china and glassware and cleaning materials</t>
  </si>
  <si>
    <t>G46.4.5 - Wholesale of perfume and cosmetics</t>
  </si>
  <si>
    <t>G46.4.6 - Wholesale of pharmaceutical goods</t>
  </si>
  <si>
    <t>G46.4.7 - Wholesale of furniture, carpets and lighting equipment</t>
  </si>
  <si>
    <t>G46.4.8 - Wholesale of watches and jewellery</t>
  </si>
  <si>
    <t>G46.4.9 - Wholesale of other household goods</t>
  </si>
  <si>
    <t>G46.5 - Wholesale of information and communication equipment</t>
  </si>
  <si>
    <t>G46.5.1 - Wholesale of computers, computer peripheral equipment and software</t>
  </si>
  <si>
    <t>G46.5.2 - Wholesale of electronic and telecommunications equipment and parts</t>
  </si>
  <si>
    <t>G46.6 - Wholesale of other machinery, equipment and supplies</t>
  </si>
  <si>
    <t>G46.6.1 - Wholesale of agricultural machinery, equipment and supplies</t>
  </si>
  <si>
    <t>G46.6.2 - Wholesale of machine tools</t>
  </si>
  <si>
    <t>G46.6.3 - Wholesale of mining, construction and civil engineering machinery</t>
  </si>
  <si>
    <t>G46.6.4 - Wholesale of machinery for the textile industry and of sewing and knitting machines</t>
  </si>
  <si>
    <t>G46.6.5 - Wholesale of office furniture</t>
  </si>
  <si>
    <t>G46.6.6 - Wholesale of other office machinery and equipment</t>
  </si>
  <si>
    <t>G46.6.9 - Wholesale of other machinery and equipment</t>
  </si>
  <si>
    <t>G46.7 - Other specialised wholesale</t>
  </si>
  <si>
    <t>G46.7.1 - Wholesale of solid, liquid and gaseous fuels and related products</t>
  </si>
  <si>
    <t>G46.7.2 - Wholesale of metals and metal ores</t>
  </si>
  <si>
    <t>G46.7.3 - Wholesale of wood, construction materials and sanitary equipment</t>
  </si>
  <si>
    <t>G46.7.4 - Wholesale of hardware, plumbing and heating equipment and supplies</t>
  </si>
  <si>
    <t>G46.7.5 - Wholesale of chemical products</t>
  </si>
  <si>
    <t>G46.7.6 - Wholesale of other intermediate products</t>
  </si>
  <si>
    <t>G46.7.7 - Wholesale of waste and scrap</t>
  </si>
  <si>
    <t>G46.9 - Non-specialised wholesale trade</t>
  </si>
  <si>
    <t>G46.9.0 - Non-specialised wholesale trade</t>
  </si>
  <si>
    <t>G47 - Retail trade, except of motor vehicles and motorcycles</t>
  </si>
  <si>
    <t>G47.1 - Retail sale in non-specialised stores</t>
  </si>
  <si>
    <t>G47.1.1 - Retail sale in non-specialised stores with food, beverages or tobacco predominating</t>
  </si>
  <si>
    <t>G47.1.9 - Other retail sale in non-specialised stores</t>
  </si>
  <si>
    <t>G47.2 - Retail sale of food, beverages and tobacco in specialised stores</t>
  </si>
  <si>
    <t>G47.2.1 - Retail sale of fruit and vegetables in specialised stores</t>
  </si>
  <si>
    <t>G47.2.2 - Retail sale of meat and meat products in specialised stores</t>
  </si>
  <si>
    <t>G47.2.3 - Retail sale of fish, crustaceans and molluscs in specialised stores</t>
  </si>
  <si>
    <t>G47.2.4 - Retail sale of bread, cakes, flour confectionery and sugar confectionery in specialised stores</t>
  </si>
  <si>
    <t>G47.2.5 - Retail sale of beverages in specialised stores</t>
  </si>
  <si>
    <t>G47.2.6 - Retail sale of tobacco products in specialised stores</t>
  </si>
  <si>
    <t>G47.2.9 - Other retail sale of food in specialised stores</t>
  </si>
  <si>
    <t>G47.3 - Retail sale of automotive fuel in specialised stores</t>
  </si>
  <si>
    <t>G47.3.0 - Retail sale of automotive fuel in specialised stores</t>
  </si>
  <si>
    <t>G47.4 - Retail sale of information and communication equipment in specialised stores</t>
  </si>
  <si>
    <t>G47.4.1 - Retail sale of computers, peripheral units and software in specialised stores</t>
  </si>
  <si>
    <t>G47.4.2 - Retail sale of telecommunications equipment in specialised stores</t>
  </si>
  <si>
    <t>G47.4.3 - Retail sale of audio and video equipment in specialised stores</t>
  </si>
  <si>
    <t>G47.5 - Retail sale of other household equipment in specialised stores</t>
  </si>
  <si>
    <t>G47.5.1 - Retail sale of textiles in specialised stores</t>
  </si>
  <si>
    <t>G47.5.2 - Retail sale of hardware, paints and glass in specialised stores</t>
  </si>
  <si>
    <t>G47.5.3 - Retail sale of carpets, rugs, wall and floor coverings in specialised stores</t>
  </si>
  <si>
    <t>G47.5.4 - Retail sale of electrical household appliances in specialised stores</t>
  </si>
  <si>
    <t>G47.5.9 - Retail sale of furniture, lighting equipment and other household articles in specialised stores</t>
  </si>
  <si>
    <t>G47.6 - Retail sale of cultural and recreation goods in specialised stores</t>
  </si>
  <si>
    <t>G47.6.1 - Retail sale of books in specialised stores</t>
  </si>
  <si>
    <t>G47.6.2 - Retail sale of newspapers and stationery in specialised stores</t>
  </si>
  <si>
    <t>G47.6.3 - Retail sale of music and video recordings in specialised stores</t>
  </si>
  <si>
    <t>G47.6.4 - Retail sale of sporting equipment in specialised stores</t>
  </si>
  <si>
    <t>G47.6.5 - Retail sale of games and toys in specialised stores</t>
  </si>
  <si>
    <t>G47.7 - Retail sale of other goods in specialised stores</t>
  </si>
  <si>
    <t>G47.7.1 - Retail sale of clothing in specialised stores</t>
  </si>
  <si>
    <t>G47.7.2 - Retail sale of footwear and leather goods in specialised stores</t>
  </si>
  <si>
    <t>G47.7.3 - Dispensing chemist in specialised stores</t>
  </si>
  <si>
    <t>G47.7.4 - Retail sale of medical and orthopaedic goods in specialised stores</t>
  </si>
  <si>
    <t>G47.7.5 - Retail sale of cosmetic and toilet articles in specialised stores</t>
  </si>
  <si>
    <t>G47.7.6 - Retail sale of flowers, plants, seeds, fertilisers, pet animals and pet food in specialised stores</t>
  </si>
  <si>
    <t>G47.7.7 - Retail sale of watches and jewellery in specialised stores</t>
  </si>
  <si>
    <t>G47.7.8 - Other retail sale of new goods in specialised stores</t>
  </si>
  <si>
    <t>G47.7.9 - Retail sale of second-hand goods in stores</t>
  </si>
  <si>
    <t>G47.8 - Retail sale via stalls and markets</t>
  </si>
  <si>
    <t>G47.8.1 - Retail sale via stalls and markets of food, beverages and tobacco products</t>
  </si>
  <si>
    <t>G47.8.2 - Retail sale via stalls and markets of textiles, clothing and footwear</t>
  </si>
  <si>
    <t>G47.8.9 - Retail sale via stalls and markets of other goods</t>
  </si>
  <si>
    <t>G47.9 - Retail trade not in stores, stalls or markets</t>
  </si>
  <si>
    <t>G47.9.1 - Retail sale via mail order houses or via Internet</t>
  </si>
  <si>
    <t>G47.9.9 - Other retail sale not in stores, stalls or markets</t>
  </si>
  <si>
    <t>H - Transporting and storage</t>
  </si>
  <si>
    <t>H49 - Land transport and transport via pipelines</t>
  </si>
  <si>
    <t>H49.1 - Passenger rail transport, interurban</t>
  </si>
  <si>
    <t>H49.1.0 - Passenger rail transport, interurban</t>
  </si>
  <si>
    <t>H49.2 - Freight rail transport</t>
  </si>
  <si>
    <t>H49.2.0 - Freight rail transport</t>
  </si>
  <si>
    <t>H49.3 - Other passenger land transport</t>
  </si>
  <si>
    <t>H49.3.1 - Urban and suburban passenger land transport</t>
  </si>
  <si>
    <t>H49.3.2 - Taxi operation</t>
  </si>
  <si>
    <t>H49.3.9 - Other passenger land transport n.e.c.</t>
  </si>
  <si>
    <t>H49.4 - Freight transport by road and removal services</t>
  </si>
  <si>
    <t>H49.4.1 - Freight transport by road</t>
  </si>
  <si>
    <t>H49.4.2 - Removal services</t>
  </si>
  <si>
    <t>H49.5 - Transport via pipeline</t>
  </si>
  <si>
    <t>H49.5.0 - Transport via pipeline</t>
  </si>
  <si>
    <t>H50 - Water transport</t>
  </si>
  <si>
    <t>H50.1 - Sea and coastal passenger water transport</t>
  </si>
  <si>
    <t>H50.1.0 - Sea and coastal passenger water transport</t>
  </si>
  <si>
    <t>H50.2 - Sea and coastal freight water transport</t>
  </si>
  <si>
    <t>H50.2.0 - Sea and coastal freight water transport</t>
  </si>
  <si>
    <t>H50.3 - Inland passenger water transport</t>
  </si>
  <si>
    <t>H50.3.0 - Inland passenger water transport</t>
  </si>
  <si>
    <t>H50.4 - Inland freight water transport</t>
  </si>
  <si>
    <t>H50.4.0 - Inland freight water transport</t>
  </si>
  <si>
    <t>H51 - Air transport</t>
  </si>
  <si>
    <t>H51.1 - Passenger air transport</t>
  </si>
  <si>
    <t>H51.1.0 - Passenger air transport</t>
  </si>
  <si>
    <t>H51.2 - Freight air transport and space transport</t>
  </si>
  <si>
    <t>H51.2.1 - Freight air transport</t>
  </si>
  <si>
    <t>H51.2.2 - Space transport</t>
  </si>
  <si>
    <t>H52 - Warehousing and support activities for transportation</t>
  </si>
  <si>
    <t>H52.1 - Warehousing and storage</t>
  </si>
  <si>
    <t>H52.1.0 - Warehousing and storage</t>
  </si>
  <si>
    <t>H52.2 - Support activities for transportation</t>
  </si>
  <si>
    <t>H52.2.1 - Service activities incidental to land transportation</t>
  </si>
  <si>
    <t>H52.2.2 - Service activities incidental to water transportation</t>
  </si>
  <si>
    <t>H52.2.3 - Service activities incidental to air transportation</t>
  </si>
  <si>
    <t>H52.2.4 - Cargo handling</t>
  </si>
  <si>
    <t>H52.2.9 - Other transportation support activities</t>
  </si>
  <si>
    <t>H53 - Postal and courier activities</t>
  </si>
  <si>
    <t>H53.1 - Postal activities under universal service obligation</t>
  </si>
  <si>
    <t>H53.1.0 - Postal activities under universal service obligation</t>
  </si>
  <si>
    <t>H53.2 - Other postal and courier activities</t>
  </si>
  <si>
    <t>H53.2.0 - Other postal and courier activities</t>
  </si>
  <si>
    <t>I - Accommodation and food service activities</t>
  </si>
  <si>
    <t>I55 - Accommodation</t>
  </si>
  <si>
    <t>I55.1 - Hotels and similar accommodation</t>
  </si>
  <si>
    <t>I55.1.0 - Hotels and similar accommodation</t>
  </si>
  <si>
    <t>I55.2 - Holiday and other short-stay accommodation</t>
  </si>
  <si>
    <t>I55.2.0 - Holiday and other short-stay accommodation</t>
  </si>
  <si>
    <t>I55.3 - Camping grounds, recreational vehicle parks and trailer parks</t>
  </si>
  <si>
    <t>I55.3.0 - Camping grounds, recreational vehicle parks and trailer parks</t>
  </si>
  <si>
    <t>I55.9 - Other accommodation</t>
  </si>
  <si>
    <t>I55.9.0 - Other accommodation</t>
  </si>
  <si>
    <t>I56 - Food and beverage service activities</t>
  </si>
  <si>
    <t>I56.1 - Restaurants and mobile food service activities</t>
  </si>
  <si>
    <t>I56.1.0 - Restaurants and mobile food service activities</t>
  </si>
  <si>
    <t>I56.2 - Event catering and other food service activities</t>
  </si>
  <si>
    <t>I56.2.1 - Event catering activities</t>
  </si>
  <si>
    <t>I56.2.9 - Other food service activities</t>
  </si>
  <si>
    <t>I56.3 - Beverage serving activities</t>
  </si>
  <si>
    <t>I56.3.0 - Beverage serving activities</t>
  </si>
  <si>
    <t>J - Information and communication</t>
  </si>
  <si>
    <t>J58 - Publishing activities</t>
  </si>
  <si>
    <t>J58.1 - Publishing of books, periodicals and other publishing activities</t>
  </si>
  <si>
    <t>J58.1.1 - Book publishing</t>
  </si>
  <si>
    <t>J58.1.2 - Publishing of directories and mailing lists</t>
  </si>
  <si>
    <t>J58.1.3 - Publishing of newspapers</t>
  </si>
  <si>
    <t>J58.1.4 - Publishing of journals and periodicals</t>
  </si>
  <si>
    <t>J58.1.9 - Other publishing activities</t>
  </si>
  <si>
    <t>J58.2 - Software publishing</t>
  </si>
  <si>
    <t>J58.2.1 - Publishing of computer games</t>
  </si>
  <si>
    <t>J58.2.9 - Other software publishing</t>
  </si>
  <si>
    <t>J59 - Motion picture, video and television programme production, sound recording and music publishing activities</t>
  </si>
  <si>
    <t>J59.1 - Motion picture, video and television programme activities</t>
  </si>
  <si>
    <t>J59.1.1 - Motion picture, video and television programme production activities</t>
  </si>
  <si>
    <t>J59.1.2 - Motion picture, video and television programme post-production activities</t>
  </si>
  <si>
    <t>J59.1.3 - Motion picture, video and television programme distribution activities</t>
  </si>
  <si>
    <t>J59.1.4 - Motion picture projection activities</t>
  </si>
  <si>
    <t>J59.2 - Sound recording and music publishing activities</t>
  </si>
  <si>
    <t>J59.2.0 - Sound recording and music publishing activities</t>
  </si>
  <si>
    <t>J60 - Programming and broadcasting activities</t>
  </si>
  <si>
    <t>J60.1 - Radio broadcasting</t>
  </si>
  <si>
    <t>J60.1.0 - Radio broadcasting</t>
  </si>
  <si>
    <t>J60.2 - Television programming and broadcasting activities</t>
  </si>
  <si>
    <t>J60.2.0 - Television programming and broadcasting activities</t>
  </si>
  <si>
    <t>J61 - Telecommunications</t>
  </si>
  <si>
    <t>J61.1 - Wired telecommunications activities</t>
  </si>
  <si>
    <t>J61.1.0 - Wired telecommunications activities</t>
  </si>
  <si>
    <t>J61.2 - Wireless telecommunications activities</t>
  </si>
  <si>
    <t>J61.2.0 - Wireless telecommunications activities</t>
  </si>
  <si>
    <t>J61.3 - Satellite telecommunications activities</t>
  </si>
  <si>
    <t>J61.3.0 - Satellite telecommunications activities</t>
  </si>
  <si>
    <t>J61.9 - Other telecommunications activities</t>
  </si>
  <si>
    <t>J61.9.0 - Other telecommunications activities</t>
  </si>
  <si>
    <t>J62 - Computer programming, consultancy and related activities</t>
  </si>
  <si>
    <t>J62.0 - Computer programming, consultancy and related activities</t>
  </si>
  <si>
    <t>J62.0.1 - Computer programming activities</t>
  </si>
  <si>
    <t>J62.0.2 - Computer consultancy activities</t>
  </si>
  <si>
    <t>J62.0.3 - Computer facilities management activities</t>
  </si>
  <si>
    <t>J62.0.9 - Other information technology and computer service activities</t>
  </si>
  <si>
    <t>J63 - Information service activities</t>
  </si>
  <si>
    <t>J63.1 - Data processing, hosting and related activities; web portals</t>
  </si>
  <si>
    <t>J63.1.1 - Data processing, hosting and related activities</t>
  </si>
  <si>
    <t>J63.1.2 - Web portals</t>
  </si>
  <si>
    <t>J63.9 - Other information service activities</t>
  </si>
  <si>
    <t>J63.9.1 - News agency activities</t>
  </si>
  <si>
    <t>J63.9.9 - Other information service activities n.e.c.</t>
  </si>
  <si>
    <t>K64.1.1 - Central banking</t>
  </si>
  <si>
    <t>K64.1.9 - Other monetary intermediation</t>
  </si>
  <si>
    <t>K64.2.0 - Activities of holding companies</t>
  </si>
  <si>
    <t>K64.3.0 - Trusts, funds and similar financial entities</t>
  </si>
  <si>
    <t>K64.9.1 - Financial leasing</t>
  </si>
  <si>
    <t>K64.9.2 - Other credit granting</t>
  </si>
  <si>
    <t>K64.9.9 - Other financial service activities, except insurance and pension funding n.e.c.</t>
  </si>
  <si>
    <t>K65.1.1 - Life insurance</t>
  </si>
  <si>
    <t>K65.1.2 - Non-life insurance</t>
  </si>
  <si>
    <t>K65.2.0 - Reinsurance</t>
  </si>
  <si>
    <t>K65.3.0 - Pension funding</t>
  </si>
  <si>
    <t>K66.1.1 - Administration of financial markets</t>
  </si>
  <si>
    <t>K66.1.2 - Security and commodity contracts brokerage</t>
  </si>
  <si>
    <t>K66.1.9 - Other activities auxiliary to financial services, except insurance and pension funding</t>
  </si>
  <si>
    <t>K66.2.1 - Risk and damage evaluation</t>
  </si>
  <si>
    <t>K66.2.2 - Activities of insurance agents and brokers</t>
  </si>
  <si>
    <t>K66.2.9 - Other activities auxiliary to insurance and pension funding</t>
  </si>
  <si>
    <t>K66.3.0 - Fund management activities</t>
  </si>
  <si>
    <t>L - Real estate activities</t>
  </si>
  <si>
    <t>L68 - Real estate activities</t>
  </si>
  <si>
    <t>L68.1 - Buying and selling of own real estate</t>
  </si>
  <si>
    <t>L68.1.0 - Buying and selling of own real estate</t>
  </si>
  <si>
    <t>L68.2 - Renting and operating of own or leased real estate</t>
  </si>
  <si>
    <t>L68.2.0 - Renting and operating of own or leased real estate</t>
  </si>
  <si>
    <t>L68.3 - Real estate activities on a fee or contract basis</t>
  </si>
  <si>
    <t>L68.3.1 - Real estate agencies</t>
  </si>
  <si>
    <t>L68.3.2 - Management of real estate on a fee or contract basis</t>
  </si>
  <si>
    <t>M - Professional, scientific and technical activities</t>
  </si>
  <si>
    <t>M69 - Legal and accounting activities</t>
  </si>
  <si>
    <t>M69.1 - Legal activities</t>
  </si>
  <si>
    <t>M69.1.0 - Legal activities</t>
  </si>
  <si>
    <t>M69.2 - Accounting, bookkeeping and auditing activities; tax consultancy</t>
  </si>
  <si>
    <t>M69.2.0 - Accounting, bookkeeping and auditing activities; tax consultancy</t>
  </si>
  <si>
    <t>M70 - Activities of head offices; management consultancy activities</t>
  </si>
  <si>
    <t>M70.1 - Activities of head offices</t>
  </si>
  <si>
    <t>M70.1.0 - Activities of head offices</t>
  </si>
  <si>
    <t>M70.2 - Management consultancy activities</t>
  </si>
  <si>
    <t>M70.2.1 - Public relations and communication activities</t>
  </si>
  <si>
    <t>M70.2.2 - Business and other management consultancy activities</t>
  </si>
  <si>
    <t>M71 - Architectural and engineering activities; technical testing and analysis</t>
  </si>
  <si>
    <t>M71.1 - Architectural and engineering activities and related technical consultancy</t>
  </si>
  <si>
    <t>M71.1.1 - Architectural activities</t>
  </si>
  <si>
    <t>M71.1.2 - Engineering activities and related technical consultancy</t>
  </si>
  <si>
    <t>M71.2 - Technical testing and analysis</t>
  </si>
  <si>
    <t>M71.2.0 - Technical testing and analysis</t>
  </si>
  <si>
    <t>M72 - Scientific research and development</t>
  </si>
  <si>
    <t>M72.1 - Research and experimental development on natural sciences and engineering</t>
  </si>
  <si>
    <t>M72.1.1 - Research and experimental development on biotechnology</t>
  </si>
  <si>
    <t>M72.1.9 - Other research and experimental development on natural sciences and engineering</t>
  </si>
  <si>
    <t>M72.2 - Research and experimental development on social sciences and humanities</t>
  </si>
  <si>
    <t>M72.2.0 - Research and experimental development on social sciences and humanities</t>
  </si>
  <si>
    <t>M73 - Advertising and market research</t>
  </si>
  <si>
    <t>M73.1 - Advertising</t>
  </si>
  <si>
    <t>M73.1.1 - Advertising agencies</t>
  </si>
  <si>
    <t>M73.1.2 - Media representation</t>
  </si>
  <si>
    <t>M73.2 - Market research and public opinion polling</t>
  </si>
  <si>
    <t>M73.2.0 - Market research and public opinion polling</t>
  </si>
  <si>
    <t>M74 - Other professional, scientific and technical activities</t>
  </si>
  <si>
    <t>M74.1 - Specialised design activities</t>
  </si>
  <si>
    <t>M74.1.0 - Specialised design activities</t>
  </si>
  <si>
    <t>M74.2 - Photographic activities</t>
  </si>
  <si>
    <t>M74.2.0 - Photographic activities</t>
  </si>
  <si>
    <t>M74.3 - Translation and interpretation activities</t>
  </si>
  <si>
    <t>M74.3.0 - Translation and interpretation activities</t>
  </si>
  <si>
    <t>M74.9 - Other professional, scientific and technical activities n.e.c.</t>
  </si>
  <si>
    <t>M74.9.0 - Other professional, scientific and technical activities n.e.c.</t>
  </si>
  <si>
    <t>M75 - Veterinary activities</t>
  </si>
  <si>
    <t>M75.0 - Veterinary activities</t>
  </si>
  <si>
    <t>M75.0.0 - Veterinary activities</t>
  </si>
  <si>
    <t>N - Administrative and support service activities</t>
  </si>
  <si>
    <t>N77 - Rental and leasing activities</t>
  </si>
  <si>
    <t>N77.1 - Renting and leasing of motor vehicles</t>
  </si>
  <si>
    <t>N77.1.1 - Renting and leasing of cars and light motor vehicles</t>
  </si>
  <si>
    <t>N77.1.2 - Renting and leasing of trucks</t>
  </si>
  <si>
    <t>N77.2 - Renting and leasing of personal and household goods</t>
  </si>
  <si>
    <t>N77.2.1 - Renting and leasing of recreational and sports goods</t>
  </si>
  <si>
    <t>N77.2.2 - Renting of video tapes and disks</t>
  </si>
  <si>
    <t>N77.2.9 - Renting and leasing of other personal and household goods</t>
  </si>
  <si>
    <t>N77.3 - Renting and leasing of other machinery, equipment and tangible goods</t>
  </si>
  <si>
    <t>N77.3.1 - Renting and leasing of agricultural machinery and equipment</t>
  </si>
  <si>
    <t>N77.3.2 - Renting and leasing of construction and civil engineering machinery and equipment</t>
  </si>
  <si>
    <t>N77.3.3 - Renting and leasing of office machinery and equipment (including computers)</t>
  </si>
  <si>
    <t>N77.3.4 - Renting and leasing of water transport equipment</t>
  </si>
  <si>
    <t>N77.3.5 - Renting and leasing of air transport equipment</t>
  </si>
  <si>
    <t>N77.3.9 - Renting and leasing of other machinery, equipment and tangible goods n.e.c.</t>
  </si>
  <si>
    <t>N77.4 - Leasing of intellectual property and similar products, except copyrighted works</t>
  </si>
  <si>
    <t>N77.4.0 - Leasing of intellectual property and similar products, except copyrighted works</t>
  </si>
  <si>
    <t>N78 - Employment activities</t>
  </si>
  <si>
    <t>N78.1 - Activities of employment placement agencies</t>
  </si>
  <si>
    <t>N78.1.0 - Activities of employment placement agencies</t>
  </si>
  <si>
    <t>N78.2 - Temporary employment agency activities</t>
  </si>
  <si>
    <t>N78.2.0 - Temporary employment agency activities</t>
  </si>
  <si>
    <t>N78.3 - Other human resources provision</t>
  </si>
  <si>
    <t>N78.3.0 - Other human resources provision</t>
  </si>
  <si>
    <t>N79 - Travel agency, tour operator and other reservation service and related activities</t>
  </si>
  <si>
    <t>N79.1 - Travel agency and tour operator activities</t>
  </si>
  <si>
    <t>N79.1.1 - Travel agency activities</t>
  </si>
  <si>
    <t>N79.1.2 - Tour operator activities</t>
  </si>
  <si>
    <t>N79.9 - Other reservation service and related activities</t>
  </si>
  <si>
    <t>N79.9.0 - Other reservation service and related activities</t>
  </si>
  <si>
    <t>N80 - Security and investigation activities</t>
  </si>
  <si>
    <t>N80.1 - Private security activities</t>
  </si>
  <si>
    <t>N80.1.0 - Private security activities</t>
  </si>
  <si>
    <t>N80.2 - Security systems service activities</t>
  </si>
  <si>
    <t>N80.2.0 - Security systems service activities</t>
  </si>
  <si>
    <t>N80.3 - Investigation activities</t>
  </si>
  <si>
    <t>N80.3.0 - Investigation activities</t>
  </si>
  <si>
    <t>N81 - Services to buildings and landscape activities</t>
  </si>
  <si>
    <t>N81.1 - Combined facilities support activities</t>
  </si>
  <si>
    <t>N81.1.0 - Combined facilities support activities</t>
  </si>
  <si>
    <t>N81.2 - Cleaning activities</t>
  </si>
  <si>
    <t>N81.2.1 - General cleaning of buildings</t>
  </si>
  <si>
    <t>N81.2.2 - Other building and industrial cleaning activities</t>
  </si>
  <si>
    <t>N81.2.9 - Other cleaning activities</t>
  </si>
  <si>
    <t>N81.3 - Landscape service activities</t>
  </si>
  <si>
    <t>N81.3.0 - Landscape service activities</t>
  </si>
  <si>
    <t>N82 - Office administrative, office support and other business support activities</t>
  </si>
  <si>
    <t>N82.1 - Office administrative and support activities</t>
  </si>
  <si>
    <t>N82.1.1 - Combined office administrative service activities</t>
  </si>
  <si>
    <t>N82.1.9 - Photocopying, document preparation and other specialised office support activities</t>
  </si>
  <si>
    <t>N82.2 - Activities of call centres</t>
  </si>
  <si>
    <t>N82.2.0 - Activities of call centres</t>
  </si>
  <si>
    <t>N82.3 - Organisation of conventions and trade shows</t>
  </si>
  <si>
    <t>N82.3.0 - Organisation of conventions and trade shows</t>
  </si>
  <si>
    <t>N82.9 - Business support service activities n.e.c.</t>
  </si>
  <si>
    <t>N82.9.1 - Activities of collection agencies and credit bureaus</t>
  </si>
  <si>
    <t>N82.9.2 - Packaging activities</t>
  </si>
  <si>
    <t>N82.9.9 - Other business support service activities n.e.c.</t>
  </si>
  <si>
    <t>O - Public administration and defence; compulsory social security</t>
  </si>
  <si>
    <t>O84 - Public administration and defence; compulsory social security</t>
  </si>
  <si>
    <t>O84.1 - Administration of the State and the economic and social policy of the community</t>
  </si>
  <si>
    <t>O84.1.1 - General public administration activities</t>
  </si>
  <si>
    <t>O84.1.2 - Regulation of the activities of providing health care, education, cultural services and other social services, excluding social security</t>
  </si>
  <si>
    <t>O84.1.3 - Regulation of and contribution to more efficient operation of businesses</t>
  </si>
  <si>
    <t>O84.2 - Provision of services to the community as a whole</t>
  </si>
  <si>
    <t>O84.2.1 - Foreign affairs</t>
  </si>
  <si>
    <t>O84.2.2 - Defence activities</t>
  </si>
  <si>
    <t>O84.2.3 - Justice and judicial activities</t>
  </si>
  <si>
    <t>O84.2.4 - Public order and safety activities</t>
  </si>
  <si>
    <t>O84.2.5 - Fire service activities</t>
  </si>
  <si>
    <t>O84.3 - Compulsory social security activities</t>
  </si>
  <si>
    <t>O84.3.0 - Compulsory social security activities</t>
  </si>
  <si>
    <t>P - Education</t>
  </si>
  <si>
    <t>P85 - Education</t>
  </si>
  <si>
    <t>P85.1 - Pre-primary education</t>
  </si>
  <si>
    <t>P85.1.0 - Pre-primary education</t>
  </si>
  <si>
    <t>P85.2 - Primary education</t>
  </si>
  <si>
    <t>P85.2.0 - Primary education</t>
  </si>
  <si>
    <t>P85.3 - Secondary education</t>
  </si>
  <si>
    <t>P85.3.1 - General secondary education</t>
  </si>
  <si>
    <t>P85.3.2 - Technical and vocational secondary education</t>
  </si>
  <si>
    <t>P85.4 - Higher education</t>
  </si>
  <si>
    <t>P85.4.1 - Post-secondary non-tertiary education</t>
  </si>
  <si>
    <t>P85.4.2 - Tertiary education</t>
  </si>
  <si>
    <t>P85.5 - Other education</t>
  </si>
  <si>
    <t>P85.5.1 - Sports and recreation education</t>
  </si>
  <si>
    <t>P85.5.2 - Cultural education</t>
  </si>
  <si>
    <t>P85.5.3 - Driving school activities</t>
  </si>
  <si>
    <t>P85.5.9 - Other education n.e.c.</t>
  </si>
  <si>
    <t>P85.6 - Educational support activities</t>
  </si>
  <si>
    <t>P85.6.0 - Educational support activities</t>
  </si>
  <si>
    <t>Q - Human health and social work activities</t>
  </si>
  <si>
    <t>Q86 - Human health activities</t>
  </si>
  <si>
    <t>Q86.1 - Hospital activities</t>
  </si>
  <si>
    <t>Q86.1.0 - Hospital activities</t>
  </si>
  <si>
    <t>Q86.2 - Medical and dental practice activities</t>
  </si>
  <si>
    <t>Q86.2.1 - General medical practice activities</t>
  </si>
  <si>
    <t>Q86.2.2 - Specialist medical practice activities</t>
  </si>
  <si>
    <t>Q86.2.3 - Dental practice activities</t>
  </si>
  <si>
    <t>Q86.9 - Other human health activities</t>
  </si>
  <si>
    <t>Q86.9.0 - Other human health activities</t>
  </si>
  <si>
    <t>Q87 - Residential care activities</t>
  </si>
  <si>
    <t>Q87.1 - Residential nursing care activities</t>
  </si>
  <si>
    <t>Q87.1.0 - Residential nursing care activities</t>
  </si>
  <si>
    <t>Q87.2 - Residential care activities for mental retardation, mental health and substance abuse</t>
  </si>
  <si>
    <t>Q87.2.0 - Residential care activities for mental retardation, mental health and substance abuse</t>
  </si>
  <si>
    <t>Q87.3 - Residential care activities for the elderly and disabled</t>
  </si>
  <si>
    <t>Q87.3.0 - Residential care activities for the elderly and disabled</t>
  </si>
  <si>
    <t>Q87.9 - Other residential care activities</t>
  </si>
  <si>
    <t>Q87.9.0 - Other residential care activities</t>
  </si>
  <si>
    <t>Q88 - Social work activities without accommodation</t>
  </si>
  <si>
    <t>Q88.1 - Social work activities without accommodation for the elderly and disabled</t>
  </si>
  <si>
    <t>Q88.1.0 - Social work activities without accommodation for the elderly and disabled</t>
  </si>
  <si>
    <t>Q88.9 - Other social work activities without accommodation</t>
  </si>
  <si>
    <t>Q88.9.1 - Child day-care activities</t>
  </si>
  <si>
    <t>Q88.9.9 - Other social work activities without accommodation n.e.c.</t>
  </si>
  <si>
    <t>R - Arts, entertainment and recreation</t>
  </si>
  <si>
    <t>R90 - Creative, arts and entertainment activities</t>
  </si>
  <si>
    <t>R90.0 - Creative, arts and entertainment activities</t>
  </si>
  <si>
    <t>R90.0.1 - Performing arts</t>
  </si>
  <si>
    <t>R90.0.2 - Support activities to performing arts</t>
  </si>
  <si>
    <t>R90.0.3 - Artistic creation</t>
  </si>
  <si>
    <t>R90.0.4 - Operation of arts facilities</t>
  </si>
  <si>
    <t>R91 - Libraries, archives, museums and other cultural activities</t>
  </si>
  <si>
    <t>R91.0 - Libraries, archives, museums and other cultural activities</t>
  </si>
  <si>
    <t>R91.0.1 - Library and archives activities</t>
  </si>
  <si>
    <t>R91.0.2 - Museums activities</t>
  </si>
  <si>
    <t>R91.0.3 - Operation of historical sites and buildings and similar visitor attractions</t>
  </si>
  <si>
    <t>R91.0.4 - Botanical and zoological gardens and nature reserves activities</t>
  </si>
  <si>
    <t>R92 - Gambling and betting activities</t>
  </si>
  <si>
    <t>R92.0 - Gambling and betting activities</t>
  </si>
  <si>
    <t>R92.0.0 - Gambling and betting activities</t>
  </si>
  <si>
    <t>R93 - Sports activities and amusement and recreation activities</t>
  </si>
  <si>
    <t>R93.1 - Sports activities</t>
  </si>
  <si>
    <t>R93.1.1 - Operation of sports facilities</t>
  </si>
  <si>
    <t>R93.1.2 - Activities of sport clubs</t>
  </si>
  <si>
    <t>R93.1.3 - Fitness facilities</t>
  </si>
  <si>
    <t>R93.1.9 - Other sports activities</t>
  </si>
  <si>
    <t>R93.2 - Amusement and recreation activities</t>
  </si>
  <si>
    <t>R93.2.1 - Activities of amusement parks and theme parks</t>
  </si>
  <si>
    <t>R93.2.9 - Other amusement and recreation activities</t>
  </si>
  <si>
    <t>S - Other services activities</t>
  </si>
  <si>
    <t>S94 - Activities of membership organisations</t>
  </si>
  <si>
    <t>S94.1 - Activities of business, employers and professional membership organisations</t>
  </si>
  <si>
    <t>S94.1.1 - Activities of business and employers membership organisations</t>
  </si>
  <si>
    <t>S94.1.2 - Activities of professional membership organisations</t>
  </si>
  <si>
    <t>S94.2 - Activities of trade unions</t>
  </si>
  <si>
    <t>S94.2.0 - Activities of trade unions</t>
  </si>
  <si>
    <t>S94.9 - Activities of other membership organisations</t>
  </si>
  <si>
    <t>S94.9.1 - Activities of religious organisations</t>
  </si>
  <si>
    <t>S94.9.2 - Activities of political organisations</t>
  </si>
  <si>
    <t>S94.9.9 - Activities of other membership organisations n.e.c.</t>
  </si>
  <si>
    <t>S95 - Repair of computers and personal and household goods</t>
  </si>
  <si>
    <t>S95.1 - Repair of computers and communication equipment</t>
  </si>
  <si>
    <t>S95.1.1 - Repair of computers and peripheral equipment</t>
  </si>
  <si>
    <t>S95.1.2 - Repair of communication equipment</t>
  </si>
  <si>
    <t>S95.2 - Repair of personal and household goods</t>
  </si>
  <si>
    <t>S95.2.1 - Repair of consumer electronics</t>
  </si>
  <si>
    <t>S95.2.2 - Repair of household appliances and home and garden equipment</t>
  </si>
  <si>
    <t>S95.2.3 - Repair of footwear and leather goods</t>
  </si>
  <si>
    <t>S95.2.4 - Repair of furniture and home furnishings</t>
  </si>
  <si>
    <t>S95.2.5 - Repair of watches, clocks and jewellery</t>
  </si>
  <si>
    <t>S95.2.9 - Repair of other personal and household goods</t>
  </si>
  <si>
    <t>S96 - Other personal service activities</t>
  </si>
  <si>
    <t>S96.0 - Other personal service activities</t>
  </si>
  <si>
    <t>S96.0.1 - Washing and (dry-)cleaning of textile and fur products</t>
  </si>
  <si>
    <t>S96.0.2 - Hairdressing and other beauty treatment</t>
  </si>
  <si>
    <t>S96.0.3 - Funeral and related activities</t>
  </si>
  <si>
    <t>S96.0.4 - Physical well-being activities</t>
  </si>
  <si>
    <t>S96.0.9 - Other personal service activities n.e.c.</t>
  </si>
  <si>
    <t>T - Activities of households as employers; undifferentiated goods - and services - producing activities of households for own use</t>
  </si>
  <si>
    <t>T97 - Activities of households as employers of domestic personnel</t>
  </si>
  <si>
    <t>T97.0 - Activities of households as employers of domestic personnel</t>
  </si>
  <si>
    <t>T97.0.0 - Activities of households as employers of domestic personnel</t>
  </si>
  <si>
    <t>T98 - Undifferentiated goods- and services-producing activities of private households for own use</t>
  </si>
  <si>
    <t>T98.1 - Undifferentiated goods-producing activities of private households for own use</t>
  </si>
  <si>
    <t>T98.1.0 - Undifferentiated goods-producing activities of private households for own use</t>
  </si>
  <si>
    <t>T98.2 - Undifferentiated service-producing activities of private households for own use</t>
  </si>
  <si>
    <t>T98.2.0 - Undifferentiated service-producing activities of private households for own use</t>
  </si>
  <si>
    <t>U - Activities of extraterritorial organisations and bodies</t>
  </si>
  <si>
    <t>U99 - Activities of extraterritorial organisations and bodies</t>
  </si>
  <si>
    <t>U99.0 - Activities of extraterritorial organisations and bodies</t>
  </si>
  <si>
    <t>U99.0.0 - Activities of extraterritorial organisations and bodies</t>
  </si>
  <si>
    <t>hier_GA_4</t>
  </si>
  <si>
    <t>European Union institutions</t>
  </si>
  <si>
    <t>Supranational Issuers</t>
  </si>
  <si>
    <t>hier_CU_1</t>
  </si>
  <si>
    <t>hier_AP_23</t>
  </si>
  <si>
    <t>Full look-through</t>
  </si>
  <si>
    <t>“Simplified” look-through based on the underlying asset allocation or last reported asset allocation with data grouping</t>
  </si>
  <si>
    <t>“Simplified” look-through based on the underlying asset allocation or last reported asset allocation without data grouping</t>
  </si>
  <si>
    <t>CIUs for which for the “equity risk type 2” was applied</t>
  </si>
  <si>
    <t>No use of any specific SCR calculation approach for CIUs</t>
  </si>
  <si>
    <t>hier_MC_50</t>
  </si>
  <si>
    <t>Not an infrastructure investment</t>
  </si>
  <si>
    <t>Infrastructure non-qualifying: Government Guarantee [Government, Central bank, Regional government or local authority]</t>
  </si>
  <si>
    <t>Infrastructure qualifying: Government Guarantee [Government, Central bank, Regional government or local authority]</t>
  </si>
  <si>
    <t>Infrastructure non-qualifying: Government Supported including Public Finance initiative [Government, Central bank, Regional government or local authority]</t>
  </si>
  <si>
    <t>Infrastructure qualifying: Government Supported including Public Finance initiative [Government, Central bank, Regional government or local authority]</t>
  </si>
  <si>
    <t>Infrastructure non-qualifying: Supranational Guarantee/Supported [ECB, Multilateral development bank, International organisation]</t>
  </si>
  <si>
    <t>Infrastructure qualifying: Supranational Guarantee/Supported [ECB, Multilateral development bank, International organisation]</t>
  </si>
  <si>
    <t>Infrastructure non-qualifying: Other non-qualifying infrastructure loans or investments, not classified under the above categories</t>
  </si>
  <si>
    <t>Infrastructure qualifying: Other qualifying infrastructure investments, not classified in the above categories</t>
  </si>
  <si>
    <t>European Long-Term Investment Fund</t>
  </si>
  <si>
    <t>hier_PU_39</t>
  </si>
  <si>
    <t>Not a participation</t>
  </si>
  <si>
    <t>Participation other than a Collective Investment Undertaking or investments packaged as funds, which is an investment vehicle</t>
  </si>
  <si>
    <t>Participation in a Collective Investment Undertaking or investments packaged as funds, which is an investment vehicle</t>
  </si>
  <si>
    <t>hier_SE_26</t>
  </si>
  <si>
    <t>Scope Hamburg GmbH (previously Euler Hermes Rating GmbH) (LEI code: 391200QXGLWHK9VK6V27)</t>
  </si>
  <si>
    <t>Japan Credit Rating Agency Ltd (LEI code: 35380002378CEGMRVW86)</t>
  </si>
  <si>
    <t>BCRA-Credit Rating Agency AD (LEI code: 747800Z0IC3P66HTQ142)</t>
  </si>
  <si>
    <t>Creditreform Rating AG (LEI code: 391200PHL11KDUTTST66)</t>
  </si>
  <si>
    <t>Scope Ratings GmbH (previously Scope Ratings AG and PSR Rating GmbH)(LEI code: 391200WU1EZUQFHDWE91)</t>
  </si>
  <si>
    <t>ICAP SA (LEI code: 2138008U6LKT8VG2UK85)</t>
  </si>
  <si>
    <t>GBB-Rating Gesellschaft für Bonitätsbeurteilung GmbH (LEI code: 391200OLWXCTKPADVV72)</t>
  </si>
  <si>
    <t>ASSEKURATA Assekuranz Rating-Agentur GmbH (LEI code: 529900977LETWLJF3295)</t>
  </si>
  <si>
    <t>ARC Ratings, S.A. (previously Companhia Portuguesa de Rating, S.A) (LEI code: 213800OZNJQMV6UA7D79)</t>
  </si>
  <si>
    <t>AM Best Europe</t>
  </si>
  <si>
    <t>A.M. Best (EU) Rating Services B.V. (LEI code: 549300Z2RUKFKV7GON79)</t>
  </si>
  <si>
    <t>AM Best Europe-Rating Services Ltd. (AMBERS) (LEI code: 549300VO8J8E5IQV1T26)</t>
  </si>
  <si>
    <t>DBRS Ratings Limited (LEI code: 5493008CGCDQLGT3EH93)</t>
  </si>
  <si>
    <t>Fitch</t>
  </si>
  <si>
    <t>Fitch France S.A.S. (LEI code: 2138009Y4TCZT6QOJO69)</t>
  </si>
  <si>
    <t>Fitch Deutschland GmbH (LEI code: 213800JEMOT1H45VN340)</t>
  </si>
  <si>
    <t>Fitch Italia S.p.A. (LEI code: 213800POJ9QSCHL3KR31)</t>
  </si>
  <si>
    <t>Fitch Polska S.A. (LEI code: 213800RYJTJPW2WD5704)</t>
  </si>
  <si>
    <t>Fitch Ratings España S.A.U. (LEI code: 213800RENFIIODKETE60)</t>
  </si>
  <si>
    <t>Fitch Ratings Limited (LEI code: 2138009F8YAHVC8W3Q52)</t>
  </si>
  <si>
    <t>Fitch Ratings CIS Limited (LEI code: 213800B7528Q4DIF2G76)</t>
  </si>
  <si>
    <t>Fitch Ratings Ireland Limited (merger of Fitch Deutschland GmbH, Fitch France S.A.S., Fitch Polska S.A., Fitch Italia S.p.A. and Fitch Ratings España S.A.U.) (LEI code: 213800BTXUQP1JZRO283)</t>
  </si>
  <si>
    <t>Moody’s</t>
  </si>
  <si>
    <t>Moody’s Investors Service Cyprus Ltd (LEI code: 549300V4LCOYCMNUVR81)</t>
  </si>
  <si>
    <t>Moody’s France S.A.S. (LEI code: 549300EB2XQYRSE54F02)</t>
  </si>
  <si>
    <t>Moody’s Deutschland GmbH (LEI code: 549300M5JMGHVTWYZH47)</t>
  </si>
  <si>
    <t>Moody’s Italia S.r.l. (LEI code: 549300GMXJ4QK70UOU68)</t>
  </si>
  <si>
    <t>Moody’s Investors Service España S.A. (LEI code: 5493005X59ILY4BGJK90)</t>
  </si>
  <si>
    <t>Moody’s Investors Service Ltd (LEI code: 549300SM89WABHDNJ349)</t>
  </si>
  <si>
    <t>Moody’s Investors Service EMEA Ltd (LEI code: 54930009NU3JYS1HTT72)</t>
  </si>
  <si>
    <t>Moody’s Investors Service (Nordics) AB (LEI code: 549300W79ZVFWJCD2Z23)</t>
  </si>
  <si>
    <t>Standard &amp; Poor's</t>
  </si>
  <si>
    <t>S&amp;P Global Ratings Europe Limited (previously S&amp;P Global Ratings Italy S.r.l, LEI 54930000NMOJ7ZBUQ063 - merger of 1 May 2018)(LEI code:5493008B2TU3S6QE1E12)</t>
  </si>
  <si>
    <t>CRIF Ratings S.r.l. (previously CRIF S.p.a.) (LEI code: 8156001AB6A1D740F237)</t>
  </si>
  <si>
    <t>Capital Intelligence Ratings Ltd (LEI code: 549300RE88OJP9J24Z18)</t>
  </si>
  <si>
    <t>European Rating Agency, a.s. (LEI code: 097900BFME0000038276)</t>
  </si>
  <si>
    <t>Axesor Risk Management SL (LEI code: 959800EC2RH76JYS3844)</t>
  </si>
  <si>
    <t>Cerved Rating Agency S.p.A. (previously CERVED Group S.p.A. ) (LEI code: 8156004AB6C992A99368)</t>
  </si>
  <si>
    <t>Kroll Bond Rating Agency (LEI code: 549300QYZ5CZYXTNZ676)</t>
  </si>
  <si>
    <t>The Economist Intelligence Unit Ltd (LEI code: 213800Q7GRZWF95EWN10)</t>
  </si>
  <si>
    <t>Dagong Europe Credit Rating Srl (Dagong Europe) (LEI code: 815600BF4FF53B7C6311)</t>
  </si>
  <si>
    <t>QIVALIO SAS (previously Spread Research) (LEI code: 969500HB6BVM2UJDOC52)</t>
  </si>
  <si>
    <t>EuroRating Sp. z o.o. (LEI code: 25940027QWS5GMO74O03)</t>
  </si>
  <si>
    <t>HR Ratings de México, S.A. de C.V. (HR Ratings) (LEI code: 549300IFL3XJKTRHZ480)</t>
  </si>
  <si>
    <t>Egan-Jones Ratings Co. (EJR) (LEI code: 54930016113PD33V1H31)</t>
  </si>
  <si>
    <t>modeFinance S.r.l. (LEI code: 815600B85A94A0122614)</t>
  </si>
  <si>
    <t>INC Rating Sp. z o.o. (LEI code: 259400SUBF5EPOGK0983)</t>
  </si>
  <si>
    <t>Rating-Agentur Expert RA GmbH (LEI code: 213800P3OOBSGWN2UE81)</t>
  </si>
  <si>
    <t>Kroll Bond Rating Agency Europe Limited (LEI code: 5493001NGHOLC41ZSK05)</t>
  </si>
  <si>
    <t>Nordic Credit Rating AS (LEI code: 549300MLUDYVRQOOXS22)</t>
  </si>
  <si>
    <t>DBRS Rating GmbH (LEI code: 54930033N1HPUEY7I370)</t>
  </si>
  <si>
    <t>Beyond Ratings SAS (LEI code: 9695006ORIPPZ3QSM810)</t>
  </si>
  <si>
    <t>Inbonis S.A. (LEI code: 875500OYQK8S5AGGBZ02)</t>
  </si>
  <si>
    <t>Other nominated ECAI</t>
  </si>
  <si>
    <t>No ECAI has been nominated and a simplification is being used to calculate the SCR</t>
  </si>
  <si>
    <t>hier_BR_4</t>
  </si>
  <si>
    <t>Credit quality step 0</t>
  </si>
  <si>
    <t>Credit quality step 1</t>
  </si>
  <si>
    <t>Credit quality step 2</t>
  </si>
  <si>
    <t>Credit quality step 2 due to article 176a of Delegated Regulation 2015/35 for unrated bonds and loans</t>
  </si>
  <si>
    <t>Credit quality step 3</t>
  </si>
  <si>
    <t>Credit quality step 3 due to simplified calculation under article 105a of Delegated Regulation 2015/35</t>
  </si>
  <si>
    <t>Credit quality step 3 due to article 176a of Delegated Regulation 2015/35 for unrated bonds and loans</t>
  </si>
  <si>
    <t>Credit quality step 4</t>
  </si>
  <si>
    <t>Credit quality step 5</t>
  </si>
  <si>
    <t>Credit quality step 6</t>
  </si>
  <si>
    <t>No rating available</t>
  </si>
  <si>
    <t>hier_MC_26</t>
  </si>
  <si>
    <t>Government Bonds</t>
  </si>
  <si>
    <t>Corporate Bonds</t>
  </si>
  <si>
    <t>Listed equity</t>
  </si>
  <si>
    <t>Unlisted equity</t>
  </si>
  <si>
    <t>Collective investments undertakings</t>
  </si>
  <si>
    <t>Structured notes</t>
  </si>
  <si>
    <t>Collateralised securities</t>
  </si>
  <si>
    <t>Cash and deposits</t>
  </si>
  <si>
    <t>Mortgages and loans</t>
  </si>
  <si>
    <t>Properties</t>
  </si>
  <si>
    <t>Other investments</t>
  </si>
  <si>
    <t>Futures</t>
  </si>
  <si>
    <t>Call Options</t>
  </si>
  <si>
    <t>Put Options</t>
  </si>
  <si>
    <t>Swaps</t>
  </si>
  <si>
    <t>Forwards</t>
  </si>
  <si>
    <t>Credit derivatives</t>
  </si>
  <si>
    <t>Liabilities</t>
  </si>
  <si>
    <t>hier_GA_35</t>
  </si>
  <si>
    <t>Aggregated countries due to application of threshold</t>
  </si>
  <si>
    <t>hier_CU_4</t>
  </si>
  <si>
    <t>Local</t>
  </si>
  <si>
    <t>Foreign</t>
  </si>
  <si>
    <t>hier_MC_29</t>
  </si>
  <si>
    <t>Equity instruments</t>
  </si>
  <si>
    <t>No collateral</t>
  </si>
  <si>
    <t>hier_LB_51</t>
  </si>
  <si>
    <t>CLN [credit linked notes and deposits]</t>
  </si>
  <si>
    <t>CMS [constant maturity swaps]</t>
  </si>
  <si>
    <t>ABS [asset backed securities]</t>
  </si>
  <si>
    <t>MBS [mortgage backed securities]</t>
  </si>
  <si>
    <t>CMBS [commercial mortgage backed securities]</t>
  </si>
  <si>
    <t>CDO [collateralised debt obligations]</t>
  </si>
  <si>
    <t>CLO [collateralised loan obligations]</t>
  </si>
  <si>
    <t>CMO [collateralised mortgage obligations]</t>
  </si>
  <si>
    <t>IRLN [Interest rate-linked notes and deposits]</t>
  </si>
  <si>
    <t>ELN [Equity-linked and Equity Index Linked notes and deposits]</t>
  </si>
  <si>
    <t>FXCLN [FX and commodity-linked notes and deposits]</t>
  </si>
  <si>
    <t>HLN [Hybrid linked notes and deposits - includes Real Estate and equity securities]</t>
  </si>
  <si>
    <t>MLN [Market-linked notes and deposits]</t>
  </si>
  <si>
    <t>ILN [Insurance-linked Notes and deposits, including Catastrophe and Weather Risk as well as Mortality Risk]</t>
  </si>
  <si>
    <t>Structured products other than CLN, CMS, ABS, MBS, CMBS, CDO, CLO, CMO, IRLN, ELN, FXCLN, HLN, MLN and ILN</t>
  </si>
  <si>
    <t>hier_CG_5</t>
  </si>
  <si>
    <t>Full capital protection</t>
  </si>
  <si>
    <t>Partial capital protection</t>
  </si>
  <si>
    <t>No capital protection</t>
  </si>
  <si>
    <t>hier_PC_2</t>
  </si>
  <si>
    <t>Equity and Funds [EF]</t>
  </si>
  <si>
    <t>Currency [CU]</t>
  </si>
  <si>
    <t>Interest rate and yields [IR]</t>
  </si>
  <si>
    <t>Commodities [Co]</t>
  </si>
  <si>
    <t>Index [In]</t>
  </si>
  <si>
    <t>Multi [M]</t>
  </si>
  <si>
    <t>Other [O]</t>
  </si>
  <si>
    <t>hier_PC_1</t>
  </si>
  <si>
    <t>Call by the buyer</t>
  </si>
  <si>
    <t>Call by the seller</t>
  </si>
  <si>
    <t>Put by the buyer</t>
  </si>
  <si>
    <t>Put by the seller</t>
  </si>
  <si>
    <t>Any combination of the previous options</t>
  </si>
  <si>
    <t>hier_MC_30</t>
  </si>
  <si>
    <t>Structured product without any transfer of asset</t>
  </si>
  <si>
    <t>Structured product with transfer of asset</t>
  </si>
  <si>
    <t>hier_PC_3</t>
  </si>
  <si>
    <t>Prepayments possible</t>
  </si>
  <si>
    <t>Prepayments not possible</t>
  </si>
  <si>
    <t>hier_CG_11</t>
  </si>
  <si>
    <t>Collateralisation performed on a portfolio basis</t>
  </si>
  <si>
    <t>Collateralisation performed on a single contract basis</t>
  </si>
  <si>
    <t>hier_PU_19</t>
  </si>
  <si>
    <t>Micro hedge [MI]</t>
  </si>
  <si>
    <t>Macro hedge [MA]</t>
  </si>
  <si>
    <t>Matching assets and liabilities cash-flows used in the context of matching adjustment portfolios</t>
  </si>
  <si>
    <t>Efficient portfolio management, other than “Matching assets and liabilities cash-flows used in the context of matching adjustment portfolios”</t>
  </si>
  <si>
    <t>hier_MC_32</t>
  </si>
  <si>
    <t>L [open]</t>
  </si>
  <si>
    <t>S [open]</t>
  </si>
  <si>
    <t>FX-FL [open]</t>
  </si>
  <si>
    <t>FX-FX [open]</t>
  </si>
  <si>
    <t>FL-FX [open]</t>
  </si>
  <si>
    <t>FL-FL [open]</t>
  </si>
  <si>
    <t>hier_VM_24</t>
  </si>
  <si>
    <t>Quoted market price in active markets for the same assets or liabilities</t>
  </si>
  <si>
    <t>Quoted market price in active markets for similar assets or liabilities</t>
  </si>
  <si>
    <t>hier_SE_27</t>
  </si>
  <si>
    <t>hier_BR_3</t>
  </si>
  <si>
    <t>hier_LT_5</t>
  </si>
  <si>
    <t>Bankruptcy of the underlying or reference entity [B]</t>
  </si>
  <si>
    <t>Adverse fall in value of the underlying reference asset [F]</t>
  </si>
  <si>
    <t>Adverse change in credit rating of the underlying assets or entity [R]</t>
  </si>
  <si>
    <t>Novation [N]</t>
  </si>
  <si>
    <t>Multiple events or a combination of events [M]</t>
  </si>
  <si>
    <t>Other events [O]</t>
  </si>
  <si>
    <t>No unwind trigger</t>
  </si>
  <si>
    <t>hier_MC_33</t>
  </si>
  <si>
    <t>L [closed]</t>
  </si>
  <si>
    <t>S [closed]</t>
  </si>
  <si>
    <t>FX-FL [closed]</t>
  </si>
  <si>
    <t>FX-FX [closed]</t>
  </si>
  <si>
    <t>FL-FX [closed]</t>
  </si>
  <si>
    <t>FL-FL [closed]</t>
  </si>
  <si>
    <t>hier_MC_28</t>
  </si>
  <si>
    <t>hier_TB_8</t>
  </si>
  <si>
    <t>Buyer [repo]</t>
  </si>
  <si>
    <t>Seller [repo]</t>
  </si>
  <si>
    <t>Lender [securities lending]</t>
  </si>
  <si>
    <t>Borrower [securities lending]</t>
  </si>
  <si>
    <t>hier_MC_31</t>
  </si>
  <si>
    <t>Equities</t>
  </si>
  <si>
    <t>Derivatives</t>
  </si>
  <si>
    <t>hier_LB_50</t>
  </si>
  <si>
    <t>hier_LB_48</t>
  </si>
  <si>
    <t>Single life</t>
  </si>
  <si>
    <t>Joint life</t>
  </si>
  <si>
    <t>Collective</t>
  </si>
  <si>
    <t>Pension entitlements</t>
  </si>
  <si>
    <t>Other</t>
  </si>
  <si>
    <t>hier_LB_19</t>
  </si>
  <si>
    <t>Still commercialised</t>
  </si>
  <si>
    <t>In run-off</t>
  </si>
  <si>
    <t>hier_LB_28</t>
  </si>
  <si>
    <t>Regular premium [R]</t>
  </si>
  <si>
    <t>Single premium with possibility of additional premiums with additional guarantee according to amount paid</t>
  </si>
  <si>
    <t>Single premium without possibility to pay an additional premium in the future [NF]</t>
  </si>
  <si>
    <t>hier_LB_22</t>
  </si>
  <si>
    <t>Product is considered replicable by a financial instrument</t>
  </si>
  <si>
    <t>Product is not considered replicable by a financial instrument</t>
  </si>
  <si>
    <t>Product is considered partially replicable by a financial instrument</t>
  </si>
  <si>
    <t>hier_CG_9</t>
  </si>
  <si>
    <t>Guaranteed minimum death benefit [GMDB]</t>
  </si>
  <si>
    <t>Guaranteed minimum accumulation benefit [GMAB]</t>
  </si>
  <si>
    <t>Guaranteed minimum income benefit [GMIB]</t>
  </si>
  <si>
    <t>Guaranteed minimum withdrawal benefits [GMWB]</t>
  </si>
  <si>
    <t>hier_TB_2</t>
  </si>
  <si>
    <t>None [N]</t>
  </si>
  <si>
    <t>Dynamic [D]</t>
  </si>
  <si>
    <t>Static [S]</t>
  </si>
  <si>
    <t>Ad hoc [A]</t>
  </si>
  <si>
    <t>hier_CG_7</t>
  </si>
  <si>
    <t>Yes [Y]</t>
  </si>
  <si>
    <t>No [N]</t>
  </si>
  <si>
    <t>Partial [P]</t>
  </si>
  <si>
    <t>Not sensitive [NS]</t>
  </si>
  <si>
    <t>hier_LB_31</t>
  </si>
  <si>
    <t>Medical expense insurance [direct business and accepted proportional reinsurance]</t>
  </si>
  <si>
    <t>Income protection insurance [direct business and accepted proportional reinsurance]</t>
  </si>
  <si>
    <t>Workers' compensation insurance [direct business and accepted proportional reinsurance]</t>
  </si>
  <si>
    <t>Motor vehicle liability insurance [direct business and accepted proportional reinsurance]</t>
  </si>
  <si>
    <t>Other motor insurance [direct business and accepted proportional reinsurance]</t>
  </si>
  <si>
    <t>Marine, aviation and transport insurance [direct business and accepted proportional reinsurance]</t>
  </si>
  <si>
    <t>Fire and other damage to property insurance [direct business and accepted proportional reinsurance]</t>
  </si>
  <si>
    <t>General liability insurance [direct business and accepted proportional reinsurance]</t>
  </si>
  <si>
    <t>Credit and suretyship insurance [direct business and accepted proportional reinsurance]</t>
  </si>
  <si>
    <t>Legal expenses insurance [direct business and accepted proportional reinsurance]</t>
  </si>
  <si>
    <t>Assistance [direct business and accepted proportional reinsurance]</t>
  </si>
  <si>
    <t>Miscellaneous financial loss [direct business and accepted proportional reinsurance]</t>
  </si>
  <si>
    <t>hier_AM_8</t>
  </si>
  <si>
    <t>Accident year [AY]</t>
  </si>
  <si>
    <t>Underwriting year [UWY]</t>
  </si>
  <si>
    <t>hier_CA_1</t>
  </si>
  <si>
    <t>Not applicable / Expressed in (converted to) reporting currency</t>
  </si>
  <si>
    <t>Expressed in currency of denomination (not converted to reporting currency)</t>
  </si>
  <si>
    <t>hier_LB_30</t>
  </si>
  <si>
    <t>hier_TB_3</t>
  </si>
  <si>
    <t>Sum Insured [SI]</t>
  </si>
  <si>
    <t>Maximum Possible Loss [MPL]</t>
  </si>
  <si>
    <t>Probable Maximum Loss [PML]</t>
  </si>
  <si>
    <t>Estimated Maximum Loss [EML]</t>
  </si>
  <si>
    <t>Other than sum insured, maximum possible loss, probable maximum loss and estimated maximum loss</t>
  </si>
  <si>
    <t>hier_LB_47</t>
  </si>
  <si>
    <t>Life and Health SLT</t>
  </si>
  <si>
    <t>Non-life and Health non-SLT</t>
  </si>
  <si>
    <t>hier_EL_13</t>
  </si>
  <si>
    <t>Tier 1</t>
  </si>
  <si>
    <t>Tier 1 - unrestricted</t>
  </si>
  <si>
    <t>Tier 1 - restricted</t>
  </si>
  <si>
    <t>Tier 2</t>
  </si>
  <si>
    <t>Tier 3</t>
  </si>
  <si>
    <t>hier_EL_14</t>
  </si>
  <si>
    <t>Counted under transitionals</t>
  </si>
  <si>
    <t>Other than counted under transitionals</t>
  </si>
  <si>
    <t>hier_AO_1</t>
  </si>
  <si>
    <t>No</t>
  </si>
  <si>
    <t>Yes</t>
  </si>
  <si>
    <t>hier_AP_18</t>
  </si>
  <si>
    <t>Full recalculation</t>
  </si>
  <si>
    <t>Simplification at risk sub-module level</t>
  </si>
  <si>
    <t>Simplification at risk module level</t>
  </si>
  <si>
    <t>No adjustment</t>
  </si>
  <si>
    <t>hier_AP_24</t>
  </si>
  <si>
    <t>Approach based on average tax rate</t>
  </si>
  <si>
    <t>Approach not based on average tax rate</t>
  </si>
  <si>
    <t>Approach based on average tax rate is not applicable as LAC DT is not used</t>
  </si>
  <si>
    <t>hier_AP_14</t>
  </si>
  <si>
    <t>Future management actions regarding the loss-absorbing capacity of technical provisions embedded within the component</t>
  </si>
  <si>
    <t>Future management actions regarding the loss-absorbing capacity of deferred taxes embedded within the component</t>
  </si>
  <si>
    <t>Future management actions regarding the loss-absorbing capacity of technical provisions and deferred taxes embedded within the component</t>
  </si>
  <si>
    <t>No embedded consideration of future management actions</t>
  </si>
  <si>
    <t>hier_AP_25</t>
  </si>
  <si>
    <t>Simplifications based on article 105a</t>
  </si>
  <si>
    <t>Simplifications not used</t>
  </si>
  <si>
    <t>hier_AP_17</t>
  </si>
  <si>
    <t>Simplifications used</t>
  </si>
  <si>
    <t>hier_AP_12</t>
  </si>
  <si>
    <t>USP gross</t>
  </si>
  <si>
    <t>USP net</t>
  </si>
  <si>
    <t>hier_AP_26</t>
  </si>
  <si>
    <t>Simplifications based on article 96a</t>
  </si>
  <si>
    <t>hier_AP_27</t>
  </si>
  <si>
    <t>Simplifications based on article 90a</t>
  </si>
  <si>
    <t>hier_RT_10</t>
  </si>
  <si>
    <t>Scenario A</t>
  </si>
  <si>
    <t>Scenario B</t>
  </si>
  <si>
    <t>hier_GA_36</t>
  </si>
  <si>
    <t>hier_AP_28</t>
  </si>
  <si>
    <t>Simplifications based on article 90c</t>
  </si>
  <si>
    <t>hier_LB_32</t>
  </si>
  <si>
    <t>Life</t>
  </si>
  <si>
    <t>hier_LB_33</t>
  </si>
  <si>
    <t>hier_TB_4</t>
  </si>
  <si>
    <t>Non-traditional or Finite RE</t>
  </si>
  <si>
    <t>Other than non-traditional or Finite RE</t>
  </si>
  <si>
    <t>hier_TB_9</t>
  </si>
  <si>
    <t>Proportional</t>
  </si>
  <si>
    <t>Non-proportional</t>
  </si>
  <si>
    <t>hier_SE_14</t>
  </si>
  <si>
    <t>Direct Life insurer</t>
  </si>
  <si>
    <t>Direct Non-life insurer</t>
  </si>
  <si>
    <t>Direct Composite insurer</t>
  </si>
  <si>
    <t>Captive insurance undertaking</t>
  </si>
  <si>
    <t>Internal reinsurer</t>
  </si>
  <si>
    <t>External reinsurer</t>
  </si>
  <si>
    <t>Reinsurance captive</t>
  </si>
  <si>
    <t>Special purpose vehicle [SPV]</t>
  </si>
  <si>
    <t>Pool entity</t>
  </si>
  <si>
    <t>State pool</t>
  </si>
  <si>
    <t>hier_LB_49</t>
  </si>
  <si>
    <t>Multiline</t>
  </si>
  <si>
    <t>hier_TB_11</t>
  </si>
  <si>
    <t>Quota share</t>
  </si>
  <si>
    <t>Variable quota share</t>
  </si>
  <si>
    <t>Surplus</t>
  </si>
  <si>
    <t>Excess of loss [per event and per risk]</t>
  </si>
  <si>
    <t>Excess of loss [per risk]</t>
  </si>
  <si>
    <t>Excess of loss [per event]</t>
  </si>
  <si>
    <t>Excess of loss “back-up”</t>
  </si>
  <si>
    <t>Excess of loss with basic risk</t>
  </si>
  <si>
    <t>Reinstatement cover</t>
  </si>
  <si>
    <t>Aggregate excess of loss</t>
  </si>
  <si>
    <t>Unlimited excess of loss</t>
  </si>
  <si>
    <t>Stop loss [SL]</t>
  </si>
  <si>
    <t>Other proportional treaties</t>
  </si>
  <si>
    <t>Other non proportional treaties</t>
  </si>
  <si>
    <t>hier_AM_7</t>
  </si>
  <si>
    <t>Based on flat premium [Y]</t>
  </si>
  <si>
    <t>Not based on a flat premium [N]</t>
  </si>
  <si>
    <t>hier_MC_18</t>
  </si>
  <si>
    <t>Cash or equivalent in Trust</t>
  </si>
  <si>
    <t>Cash or Funds Withheld</t>
  </si>
  <si>
    <t>Letter of Credit</t>
  </si>
  <si>
    <t>Other than Cash or equivalent in Trust, Cash or Funds Withheld and Letter of Credit</t>
  </si>
  <si>
    <t>hier_LT_3</t>
  </si>
  <si>
    <t>Indemnity</t>
  </si>
  <si>
    <t>Model Loss</t>
  </si>
  <si>
    <t>Index or Parametric</t>
  </si>
  <si>
    <t>Hybrid (including components from above techniques)</t>
  </si>
  <si>
    <t>Other than indemnity, Model Loss, Index or Parametric and Hybrids</t>
  </si>
  <si>
    <t>hier_LT_4</t>
  </si>
  <si>
    <t>The same as in underlying portfolio</t>
  </si>
  <si>
    <t>Other than in underlying portfolio</t>
  </si>
  <si>
    <t>hier_RT_13</t>
  </si>
  <si>
    <t>No basis risk</t>
  </si>
  <si>
    <t>Insufficient subordination for note holders</t>
  </si>
  <si>
    <t>Investors’ additional recourse against cedant</t>
  </si>
  <si>
    <t>Additional risks were securitised subsequent to authorisation</t>
  </si>
  <si>
    <t>Cedants hold exposure to notes issued</t>
  </si>
  <si>
    <t>Other risk than insufficient subordination for note holders, investors’ additional recourse against cedant, additional risks were securitised subsequent to authorisation and cedants hold exposure to notes issued</t>
  </si>
  <si>
    <t>hier_RT_14</t>
  </si>
  <si>
    <t>Substantial part of risks insured not transferred</t>
  </si>
  <si>
    <t>Insufficient trigger to match risk exposure of cedant</t>
  </si>
  <si>
    <t>hier_SE_16</t>
  </si>
  <si>
    <t>SPV fully funded in relation to cedant obligations</t>
  </si>
  <si>
    <t>SPV not fully funded in relation to cedant obligations</t>
  </si>
  <si>
    <t>hier_TB_12</t>
  </si>
  <si>
    <t>Investments of SPV controlled by cedant and/or sponsor (where it differs from cedant)</t>
  </si>
  <si>
    <t>Investments of SPV held by cedant (equity, notes or other subordinated debt of the SPV)</t>
  </si>
  <si>
    <t>Cedant sells reinsurance or other risk mitigation protection to the SPV</t>
  </si>
  <si>
    <t>Cedant has provided guarantee or other credit enhancement to SPV or note holders</t>
  </si>
  <si>
    <t>Sufficient basis risk retained by cedant</t>
  </si>
  <si>
    <t>hier_TB_13</t>
  </si>
  <si>
    <t>Held in trust with other third party than cedant / sponsor</t>
  </si>
  <si>
    <t>Not held in trust with other third party than cedant / sponsor</t>
  </si>
  <si>
    <t>hier_SE_17</t>
  </si>
  <si>
    <t>Trusts</t>
  </si>
  <si>
    <t>Partnerships</t>
  </si>
  <si>
    <t>Limited liability companies</t>
  </si>
  <si>
    <t>Other legal entity form not referred above</t>
  </si>
  <si>
    <t>Not incorporated</t>
  </si>
  <si>
    <t>hier_GA_5</t>
  </si>
  <si>
    <t>hier_TB_7</t>
  </si>
  <si>
    <t>SPV authorised under article 211(1) of the Directive 2009/138/EC</t>
  </si>
  <si>
    <t>SPV authorised under article 211(3) of the Directive 2009/138/EC (grandfathered)</t>
  </si>
  <si>
    <t>SPV regulated by a third country supervisory authority where requirements equivalent to those set out in Article 211(2) of Directive 2009/138/EC are met by the special purpose vehicle</t>
  </si>
  <si>
    <t>SPV not covered above</t>
  </si>
  <si>
    <t>hier_MC_35</t>
  </si>
  <si>
    <t>Bonds/Debt - collateralised</t>
  </si>
  <si>
    <t>Bonds/Debt - uncollateralised</t>
  </si>
  <si>
    <t>Equity type - shares/participations</t>
  </si>
  <si>
    <t>Equity type - others</t>
  </si>
  <si>
    <t>Other asset transfer - properties</t>
  </si>
  <si>
    <t>Other asset transfer - others</t>
  </si>
  <si>
    <t>hier_MC_36</t>
  </si>
  <si>
    <t>Derivatives - options</t>
  </si>
  <si>
    <t>Derivatives - others</t>
  </si>
  <si>
    <t>Guarantees - credit protection</t>
  </si>
  <si>
    <t>Guarantees - others</t>
  </si>
  <si>
    <t>Swaps - credit default</t>
  </si>
  <si>
    <t>Swaps - interest rate</t>
  </si>
  <si>
    <t>Swaps - currency</t>
  </si>
  <si>
    <t>Swaps - others</t>
  </si>
  <si>
    <t>hier_LB_43</t>
  </si>
  <si>
    <t>hier_TB_14</t>
  </si>
  <si>
    <t>Financial reinsurance</t>
  </si>
  <si>
    <t>Facultative proportional</t>
  </si>
  <si>
    <t>Facultative non-proportional</t>
  </si>
  <si>
    <t>hier_MC_37</t>
  </si>
  <si>
    <t>Contingent liabilities</t>
  </si>
  <si>
    <t>Off balance sheet items</t>
  </si>
  <si>
    <t>Cost sharing</t>
  </si>
  <si>
    <t>Others</t>
  </si>
  <si>
    <t>hier_PU_20</t>
  </si>
  <si>
    <t>Material Ring Fenced Fund or Matching Adjustment Portfolio</t>
  </si>
  <si>
    <t>Remaining part [other than MAPs and material RFFs]</t>
  </si>
  <si>
    <t>hier_CN_77</t>
  </si>
  <si>
    <t>Not reported as refers to MAP fund</t>
  </si>
  <si>
    <t>hier_CN_92</t>
  </si>
  <si>
    <t>Not reported as no RFF/MAP or no life and health SLT business</t>
  </si>
  <si>
    <t>hier_CN_93</t>
  </si>
  <si>
    <t>Not reported as no RFF/MAP or no non-life business</t>
  </si>
  <si>
    <t>hier_CN_79</t>
  </si>
  <si>
    <t>Not reported as no MA is applied</t>
  </si>
  <si>
    <t>Not reported as refers to RFF or remaining part</t>
  </si>
  <si>
    <t>hier_PU_30</t>
  </si>
  <si>
    <t>Material Ring Fenced Funds</t>
  </si>
  <si>
    <t>hier_CN_17</t>
  </si>
  <si>
    <t>Not reported as method 2 is used exclusively</t>
  </si>
  <si>
    <t>hier_CN_16</t>
  </si>
  <si>
    <t>Exempted under Article 254(2)</t>
  </si>
  <si>
    <t>hier_CN_19</t>
  </si>
  <si>
    <t>hier_CN_87</t>
  </si>
  <si>
    <t>hier_CN_24</t>
  </si>
  <si>
    <t>hier_CN_118</t>
  </si>
  <si>
    <t>hier_CN_126</t>
  </si>
  <si>
    <t>hier_CN_29</t>
  </si>
  <si>
    <t>hier_CN_89</t>
  </si>
  <si>
    <t>hier_CN_90</t>
  </si>
  <si>
    <t>hier_CN_96</t>
  </si>
  <si>
    <t>hier_CN_109</t>
  </si>
  <si>
    <t>hier_CN_49</t>
  </si>
  <si>
    <t>hier_CN_50</t>
  </si>
  <si>
    <t>hier_CN_125</t>
  </si>
  <si>
    <t>hier_CN_54</t>
  </si>
  <si>
    <t>hier_CN_56</t>
  </si>
  <si>
    <t>hier_CN_52</t>
  </si>
  <si>
    <t>hier_CN_13</t>
  </si>
  <si>
    <t>Not reported o/a no non-(re)insurance business in the scope of the group</t>
  </si>
  <si>
    <t>hier_CN_61</t>
  </si>
  <si>
    <t>hier_CN_63</t>
  </si>
  <si>
    <t>hier_CN_65</t>
  </si>
  <si>
    <t>hier_CN_67</t>
  </si>
  <si>
    <t>hier_CN_68</t>
  </si>
  <si>
    <t>Not due in accordance with threshold decided by group supervisor</t>
  </si>
  <si>
    <t>hier_CS_14</t>
  </si>
  <si>
    <t>No sub-group information</t>
  </si>
  <si>
    <t>Sub-group information</t>
  </si>
  <si>
    <t>hier_CS_21</t>
  </si>
  <si>
    <t>hier_AP_8</t>
  </si>
  <si>
    <t>Use of group specific parameters</t>
  </si>
  <si>
    <t>Don’t use group specific parameters</t>
  </si>
  <si>
    <t>hier_CS_15</t>
  </si>
  <si>
    <t>Accounting consolidation-based method [method 1]</t>
  </si>
  <si>
    <t>Deduction and aggregation method [method 2]</t>
  </si>
  <si>
    <t>Combination of methods 1 and 2</t>
  </si>
  <si>
    <t>hier_PU_27</t>
  </si>
  <si>
    <t>Non-controlled participation in a related insurance and reinsurance undertaking under method 1</t>
  </si>
  <si>
    <t>Non-controlled participation in related insurance and reinsurance undertaking under method 2</t>
  </si>
  <si>
    <t>Participation in other financial sector</t>
  </si>
  <si>
    <t>Subsidiary under method 2</t>
  </si>
  <si>
    <t>Participation in other strategic related undertaking under method 1</t>
  </si>
  <si>
    <t>Participation in other non-strategic related undertaking under method 1</t>
  </si>
  <si>
    <t>Other participations (e.g. participation in other undertakings under method 2)</t>
  </si>
  <si>
    <t>hier_SE_29</t>
  </si>
  <si>
    <t>Multiple ECAI</t>
  </si>
  <si>
    <t>hier_SE_28</t>
  </si>
  <si>
    <t>hier_SE_23</t>
  </si>
  <si>
    <t>Composite insurer</t>
  </si>
  <si>
    <t>Insurance holding company as defined in Art. 212§ [f] of Directive 2009/138/EC</t>
  </si>
  <si>
    <t>Mixed-activity insurance holding company as defined in Art. 212§1 [g] of Directive 2009/138/EC</t>
  </si>
  <si>
    <t>Mixed financial holding company as defined in Art. 212§1 [h] of Directive 2009/138/EC</t>
  </si>
  <si>
    <t>Credit institutions, investment firms and financial institutions</t>
  </si>
  <si>
    <t>Institutions for occupational retirement provision</t>
  </si>
  <si>
    <t>Ancillary services undertaking as defined in Article 1 (53) of Delegated Regulation (EU) 2015/35</t>
  </si>
  <si>
    <t>Non-regulated undertaking carrying out financial activities as defined in Article 1 (52) of Delegated Regulation (EU) 2015/35</t>
  </si>
  <si>
    <t>Special purpose vehicle authorized in accordance with Art. 211 of Directive 2009/138/EC</t>
  </si>
  <si>
    <t>Special purpose vehicle other special purpose vehicle authorized in accordance with Art. 211 of Directive 2009/138/EC</t>
  </si>
  <si>
    <t>UCITS management companies as defined in Article 1 (54) of Delegated Regulation (EU) 2015/35</t>
  </si>
  <si>
    <t>Alternative investment funds managers as defined in Article 1 (55) of Delegated Regulation (EU) 2015/35</t>
  </si>
  <si>
    <t>hier_SE_8</t>
  </si>
  <si>
    <t>Mutual</t>
  </si>
  <si>
    <t>Non-mutual</t>
  </si>
  <si>
    <t>hier_CS_3</t>
  </si>
  <si>
    <t>Dominant</t>
  </si>
  <si>
    <t>Significant</t>
  </si>
  <si>
    <t>hier_CS_20</t>
  </si>
  <si>
    <t>Included into scope of group supervision</t>
  </si>
  <si>
    <t>Not included into scope of group supervision (art. 214 a)</t>
  </si>
  <si>
    <t>Not included into scope of group supervision (art. 214 b)</t>
  </si>
  <si>
    <t>Not included into scope of group supervision (art. 214 c)</t>
  </si>
  <si>
    <t>hier_CS_16</t>
  </si>
  <si>
    <t>Method 1: Full consolidation</t>
  </si>
  <si>
    <t>Method 1: Proportional consolidation</t>
  </si>
  <si>
    <t>Method 1: Adjusted equity method</t>
  </si>
  <si>
    <t>Method 1: Sectoral rules</t>
  </si>
  <si>
    <t>Method 2: Solvency II</t>
  </si>
  <si>
    <t>Method 2: Other sectoral Rules</t>
  </si>
  <si>
    <t>Method 2: Local rules</t>
  </si>
  <si>
    <t>Deduction of the participation in relation to article 229 of Directive 2009/138/EC</t>
  </si>
  <si>
    <t>No inclusion in the scope of group supervision as defined in Art. 214 Directive 2009/138/EC</t>
  </si>
  <si>
    <t>Other Method</t>
  </si>
  <si>
    <t>hier_PU_35</t>
  </si>
  <si>
    <t>Entity level</t>
  </si>
  <si>
    <t>hier_AP_13</t>
  </si>
  <si>
    <t>Individual Internal Model</t>
  </si>
  <si>
    <t>Group Internal Model</t>
  </si>
  <si>
    <t>hier_CS_4</t>
  </si>
  <si>
    <t>Aggregated</t>
  </si>
  <si>
    <t>Not aggregated</t>
  </si>
  <si>
    <t>hier_AM_6</t>
  </si>
  <si>
    <t>Sectoral</t>
  </si>
  <si>
    <t>Notional</t>
  </si>
  <si>
    <t>No capital requirement</t>
  </si>
  <si>
    <t>hier_CS_10</t>
  </si>
  <si>
    <t>hier_EX_5</t>
  </si>
  <si>
    <t>Assets - Bonds</t>
  </si>
  <si>
    <t>Assets - Equity</t>
  </si>
  <si>
    <t>Assets - reinsurance</t>
  </si>
  <si>
    <t>Assets - others</t>
  </si>
  <si>
    <t>Liabilities - insurance</t>
  </si>
  <si>
    <t>Liabilities - loans</t>
  </si>
  <si>
    <t>Liabilities - debts</t>
  </si>
  <si>
    <t>Liabilities - others</t>
  </si>
  <si>
    <t>Off-balance-sheet (contingent asset)</t>
  </si>
  <si>
    <t>Off-balance-sheet (contingent liability)</t>
  </si>
  <si>
    <t>hier_CN_78</t>
  </si>
  <si>
    <t>hier_CN_106</t>
  </si>
  <si>
    <t>Exempted under Guideline 48</t>
  </si>
  <si>
    <t>hier_CN_115</t>
  </si>
  <si>
    <t>hier_CN_97</t>
  </si>
  <si>
    <t>hier_CN_119</t>
  </si>
  <si>
    <t>hier_CN_121</t>
  </si>
  <si>
    <t>hier_CN_100</t>
  </si>
  <si>
    <t>hier_CN_101</t>
  </si>
  <si>
    <t>hier_CN_102</t>
  </si>
  <si>
    <t>hier_CN_103</t>
  </si>
  <si>
    <t>hier_CN_104</t>
  </si>
  <si>
    <t>hier_SE_22</t>
  </si>
  <si>
    <t>hier_AO_2</t>
  </si>
  <si>
    <t>hier_PU_24</t>
  </si>
  <si>
    <t>Deposit lodged</t>
  </si>
  <si>
    <t>Not in deposit lodged</t>
  </si>
  <si>
    <t>hier_PU_25</t>
  </si>
  <si>
    <t>No rights of set off</t>
  </si>
  <si>
    <t>Rights of set off</t>
  </si>
  <si>
    <t>hier_CN_75</t>
  </si>
  <si>
    <t>Not reported in Q1 and Q3</t>
  </si>
  <si>
    <t>hier_CN_114</t>
  </si>
  <si>
    <t>hier_CN_111</t>
  </si>
  <si>
    <t>hier_CN_94</t>
  </si>
  <si>
    <t>Not reported as no pension entitlements</t>
  </si>
  <si>
    <t>hier_CN_95</t>
  </si>
  <si>
    <t>hier_SE_18</t>
  </si>
  <si>
    <t>Central bank (ESA 2010 sector S.121)</t>
  </si>
  <si>
    <t>Deposit-taking corporations except the central bank (ESA sector S.122)</t>
  </si>
  <si>
    <t>Money market funds (ESA sector S.123)</t>
  </si>
  <si>
    <t>Investment funds except money market funds (ESA sector S.124)</t>
  </si>
  <si>
    <t>Other financial intermediaries, except insurance corporations and pension funds (excluding financial vehicle corporations engaged in securitisation transactions) + financial auxiliaries + captive financial institutions and money lenders (ESA sector S.125 excluding FVCs + ESA sector S.126 + ESA sector S.127)</t>
  </si>
  <si>
    <t>Financial vehicle corporations engaged in securitisation transactions (a subdivision of ESA sector S.125)</t>
  </si>
  <si>
    <t>Insurance corporations (ESA sector S.128)</t>
  </si>
  <si>
    <t>Pension funds (ESA sector S.129)</t>
  </si>
  <si>
    <t>Non-financial corporations (ESA sector S.11)</t>
  </si>
  <si>
    <t>General government (ESA sector S.13)</t>
  </si>
  <si>
    <t>Households and non-profit institutions serving households (ESA sector S.14 + ESA sector S.15)</t>
  </si>
  <si>
    <t>hier_MC_48</t>
  </si>
  <si>
    <t>Borrower's notes, non-negotiable debt securities and non-negotiable money market securities</t>
  </si>
  <si>
    <t>Registered bonds</t>
  </si>
  <si>
    <t>Registered participation certificates and subscription rights</t>
  </si>
  <si>
    <t>Other than borrower's notes, non-negotiable debt securities, non-negotiable money market securities, registered bonds, registered participation certificates and subscription rights</t>
  </si>
  <si>
    <t>hier_CN_122</t>
  </si>
  <si>
    <t>hier_AP_15</t>
  </si>
  <si>
    <t>Compliance with fully-funded</t>
  </si>
  <si>
    <t>Non-compliance with fully-funded</t>
  </si>
  <si>
    <t>hier_AP_16</t>
  </si>
  <si>
    <t>Prior to 31 December 2015</t>
  </si>
  <si>
    <t>After 31 December 2015</t>
  </si>
  <si>
    <t>S.01.01.01.01 - Content of the submission</t>
  </si>
  <si>
    <t>Columns</t>
  </si>
  <si>
    <t/>
  </si>
  <si>
    <t>C0010</t>
  </si>
  <si>
    <t>Rows</t>
  </si>
  <si>
    <t>Template Code - Template name</t>
  </si>
  <si>
    <t>S.01.02.01 - Basic Information - General</t>
  </si>
  <si>
    <t>R0010</t>
  </si>
  <si>
    <t>S.01.03.01 - Basic Information - RFF and matching adjustment portfolios</t>
  </si>
  <si>
    <t>R0020</t>
  </si>
  <si>
    <t>S.02.01.01 - Balance sheet</t>
  </si>
  <si>
    <t>R0030</t>
  </si>
  <si>
    <t>S.02.02.01 - Assets and liabilities by currency</t>
  </si>
  <si>
    <t>R0040</t>
  </si>
  <si>
    <t>S.03.01.01 - Off-balance sheet items - general</t>
  </si>
  <si>
    <t>R0060</t>
  </si>
  <si>
    <t>S.03.02.01 - Off-balance sheet items - List of unlimited guarantees received by the undertaking</t>
  </si>
  <si>
    <t>R0070</t>
  </si>
  <si>
    <t>S.03.03.01 - Off-balance sheet items - List of unlimited guarantees provided by the undertaking</t>
  </si>
  <si>
    <t>R0080</t>
  </si>
  <si>
    <t>S.04.01.01 - Activity by country</t>
  </si>
  <si>
    <t>R0090</t>
  </si>
  <si>
    <t>S.04.02.01 - Information on class 10 in Part A of Annex I of Solvency II Directive, excluding carrier's liability</t>
  </si>
  <si>
    <t>R0100</t>
  </si>
  <si>
    <t>S.05.01.01 - Premiums, claims and expenses by line of business</t>
  </si>
  <si>
    <t>R0110</t>
  </si>
  <si>
    <t>S.05.02.01 - Premiums, claims and expenses by country</t>
  </si>
  <si>
    <t>R0120</t>
  </si>
  <si>
    <t>S.06.01.01 - Summary of assets</t>
  </si>
  <si>
    <t>R0130</t>
  </si>
  <si>
    <t>S.06.02.01 - List of assets</t>
  </si>
  <si>
    <t>R0140</t>
  </si>
  <si>
    <t>S.06.03.01 - Collective investment undertakings - look-through approach</t>
  </si>
  <si>
    <t>R0150</t>
  </si>
  <si>
    <t>S.07.01.01 - Structured products</t>
  </si>
  <si>
    <t>R0160</t>
  </si>
  <si>
    <t>S.08.01.01 - Open derivatives</t>
  </si>
  <si>
    <t>R0170</t>
  </si>
  <si>
    <t>S.08.02.01 - Derivatives Transactions</t>
  </si>
  <si>
    <t>R0180</t>
  </si>
  <si>
    <t>S.09.01.01 - Income/gains and losses in the period</t>
  </si>
  <si>
    <t>R0190</t>
  </si>
  <si>
    <t>S.10.01.01 - Securities lending and repos</t>
  </si>
  <si>
    <t>R0200</t>
  </si>
  <si>
    <t>S.11.01.01 - Assets held as collateral</t>
  </si>
  <si>
    <t>R0210</t>
  </si>
  <si>
    <t>S.12.01.01 - Life and Health SLT Technical Provisions</t>
  </si>
  <si>
    <t>R0220</t>
  </si>
  <si>
    <t>S.12.02.01 - Life and Health SLT Technical Provisions - by country</t>
  </si>
  <si>
    <t>R0230</t>
  </si>
  <si>
    <t>S.13.01.01 - Projection of future gross cash flows</t>
  </si>
  <si>
    <t>R0240</t>
  </si>
  <si>
    <t>S.14.01.01 - Life obligations analysis</t>
  </si>
  <si>
    <t>R0250</t>
  </si>
  <si>
    <t>S.15.01.01 - Description of the guarantees of variable annuities</t>
  </si>
  <si>
    <t>R0260</t>
  </si>
  <si>
    <t>S.15.02.01 - Hedging of guarantees of variable annuities</t>
  </si>
  <si>
    <t>R0270</t>
  </si>
  <si>
    <t>S.16.01.01 - Information on annuities stemming from Non-Life Insurance obligations</t>
  </si>
  <si>
    <t>R0280</t>
  </si>
  <si>
    <t>S.17.01.01 - Non-Life Technical Provisions</t>
  </si>
  <si>
    <t>R0290</t>
  </si>
  <si>
    <t>S.17.02.01 - Non-Life Technical Provisions - By country</t>
  </si>
  <si>
    <t>R0300</t>
  </si>
  <si>
    <t>S.18.01.01 - Projection of future cash flows (Best Estimate - Non Life)</t>
  </si>
  <si>
    <t>R0310</t>
  </si>
  <si>
    <t>S.19.01.01 - Non-life insurance claims</t>
  </si>
  <si>
    <t>R0320</t>
  </si>
  <si>
    <t>S.20.01.01 - Development of the distribution of the claims incurred</t>
  </si>
  <si>
    <t>R0330</t>
  </si>
  <si>
    <t>S.21.01.01 - Loss distribution risk profile</t>
  </si>
  <si>
    <t>R0340</t>
  </si>
  <si>
    <t>S.21.02.01 - Underwriting risks non-life</t>
  </si>
  <si>
    <t>R0350</t>
  </si>
  <si>
    <t>S.21.03.01 - Non-life distribution of underwriting risks - by sum insured</t>
  </si>
  <si>
    <t>R0360</t>
  </si>
  <si>
    <t>S.22.01.01 - Impact of long term guarantees measures and transitionals</t>
  </si>
  <si>
    <t>R0370</t>
  </si>
  <si>
    <t>S.22.04.01 - Information on the transitional on interest rates calculation</t>
  </si>
  <si>
    <t>R0380</t>
  </si>
  <si>
    <t>S.22.05.01 - Overall calculation of the transitional on technical provisions</t>
  </si>
  <si>
    <t>R0390</t>
  </si>
  <si>
    <t>S.22.06.01 - Best estimate subject to volatility adjustment by country and currency</t>
  </si>
  <si>
    <t>R0400</t>
  </si>
  <si>
    <t>S.23.01.01 - Own funds</t>
  </si>
  <si>
    <t>R0410</t>
  </si>
  <si>
    <t>S.23.02.01 - Detailed information by tiers on own funds</t>
  </si>
  <si>
    <t>R0420</t>
  </si>
  <si>
    <t>S.23.03.01 - Annual movements on own funds</t>
  </si>
  <si>
    <t>R0430</t>
  </si>
  <si>
    <t>S.23.04.01 - List of items on own funds</t>
  </si>
  <si>
    <t>R0440</t>
  </si>
  <si>
    <t>S.24.01.01 - Participations held</t>
  </si>
  <si>
    <t>R0450</t>
  </si>
  <si>
    <t>S.25.01.01 - Solvency Capital Requirement - for undertakings on Standard Formula</t>
  </si>
  <si>
    <t>R0460</t>
  </si>
  <si>
    <t>S.25.02.01 - Solvency Capital Requirement - for undertakings using the standard formula and partial internal model</t>
  </si>
  <si>
    <t>R0470</t>
  </si>
  <si>
    <t>S.25.03.01 - Solvency Capital Requirement - for undertakings on Full Internal Models</t>
  </si>
  <si>
    <t>R0480</t>
  </si>
  <si>
    <t>S.26.01.01 - Solvency Capital Requirement - Market risk</t>
  </si>
  <si>
    <t>R0500</t>
  </si>
  <si>
    <t>S.26.02.01 - Solvency Capital Requirement - Counterparty default risk</t>
  </si>
  <si>
    <t>R0510</t>
  </si>
  <si>
    <t>S.26.03.01 - Solvency Capital Requirement - Life underwriting risk</t>
  </si>
  <si>
    <t>R0520</t>
  </si>
  <si>
    <t>S.26.04.01 - Solvency Capital Requirement - Health underwriting risk</t>
  </si>
  <si>
    <t>R0530</t>
  </si>
  <si>
    <t>S.26.05.01 - Solvency Capital Requirement - Non-Life underwriting risk</t>
  </si>
  <si>
    <t>R0540</t>
  </si>
  <si>
    <t>S.26.06.01 - Solvency Capital Requirement - Operational risk</t>
  </si>
  <si>
    <t>R0550</t>
  </si>
  <si>
    <t>S.26.07.01 - Solvency Capital Requirement - Simplifications</t>
  </si>
  <si>
    <t>R0560</t>
  </si>
  <si>
    <t>S.27.01.01 - Solvency Capital Requirement - Non-life and Health catastrophe risk</t>
  </si>
  <si>
    <t>R0570</t>
  </si>
  <si>
    <t>S.28.01.01 - Minimum Capital Requirement - Only life or only non-life insurance or reinsurance activity</t>
  </si>
  <si>
    <t>R0580</t>
  </si>
  <si>
    <t>S.28.02.01 - Minimum Capital Requirement - Both life and non-life insurance activity</t>
  </si>
  <si>
    <t>R0590</t>
  </si>
  <si>
    <t>S.29.01.01 - Excess of Assets over Liabilities</t>
  </si>
  <si>
    <t>R0600</t>
  </si>
  <si>
    <t>S.29.02.01 - Excess of Assets over Liabilities - explained by investments and financial liabilities</t>
  </si>
  <si>
    <t>R0610</t>
  </si>
  <si>
    <t>S.29.03.01 - Excess of Assets over Liabilities - explained by technical provisions</t>
  </si>
  <si>
    <t>R0620</t>
  </si>
  <si>
    <t>S.29.04.01 - Detailed analysis per period - Technical flows versus Technical provisions</t>
  </si>
  <si>
    <t>R0630</t>
  </si>
  <si>
    <t>S.30.01.01 - Facultative covers for non-life and life business basic data</t>
  </si>
  <si>
    <t>R0640</t>
  </si>
  <si>
    <t>S.30.02.01 - Facultative covers for non-life and life business shares data</t>
  </si>
  <si>
    <t>R0650</t>
  </si>
  <si>
    <t>S.30.03.01 - Outgoing Reinsurance Program basic data</t>
  </si>
  <si>
    <t>R0660</t>
  </si>
  <si>
    <t>S.30.04.01 - Outgoing Reinsurance Program shares data</t>
  </si>
  <si>
    <t>R0670</t>
  </si>
  <si>
    <t>S.31.01.01 - Share of reinsurers (including Finite Reinsurance and SPV's)</t>
  </si>
  <si>
    <t>R0680</t>
  </si>
  <si>
    <t>S.31.02.01 - Special Purpose Vehicles</t>
  </si>
  <si>
    <t>R0690</t>
  </si>
  <si>
    <t>S.36.01.01 - IGT - Equity-type transactions, debt and asset transfer</t>
  </si>
  <si>
    <t>R0740</t>
  </si>
  <si>
    <t>S.36.02.01 - IGT - Derivatives</t>
  </si>
  <si>
    <t>R0750</t>
  </si>
  <si>
    <t>S.36.03.01 - IGT - Internal reinsurance</t>
  </si>
  <si>
    <t>R0760</t>
  </si>
  <si>
    <t>S.36.04.01 - IGT - Cost Sharing, contingent liabilities, off BS and other items</t>
  </si>
  <si>
    <t>R0770</t>
  </si>
  <si>
    <t>S.01.01.02.01 - Content of the submission</t>
  </si>
  <si>
    <t>S.02.01.02 - Balance sheet</t>
  </si>
  <si>
    <t>S.05.01.02 - Premiums, claims and expenses by line of business</t>
  </si>
  <si>
    <t>S.12.01.02 - Life and Health SLT Technical Provisions</t>
  </si>
  <si>
    <t>S.17.01.02 - Non-Life Technical Provisions</t>
  </si>
  <si>
    <t>S.01.01.04.01 - Content of the submission</t>
  </si>
  <si>
    <t>S.01.02.04 - Basic Information - General</t>
  </si>
  <si>
    <t>S.01.03.04 - Basic Information - RFF and matching adjustment portfolios</t>
  </si>
  <si>
    <t>S.03.01.04 - Off-balance sheet items - general</t>
  </si>
  <si>
    <t>S.03.02.04 - Off-balance sheet items - List of unlimited guarantees received by the group</t>
  </si>
  <si>
    <t>S.03.03.04 - Off-balance sheet items - List of unlimited guarantees provided by the group</t>
  </si>
  <si>
    <t>S.06.02.04 - List of assets</t>
  </si>
  <si>
    <t>S.06.03.04 - Collective investment undertakings - look-through approach</t>
  </si>
  <si>
    <t>S.07.01.04 - Structured products</t>
  </si>
  <si>
    <t>S.08.01.04 - Open derivatives</t>
  </si>
  <si>
    <t>S.08.02.04 - Derivatives Transactions</t>
  </si>
  <si>
    <t>S.09.01.04 - Income/gains and losses in the period</t>
  </si>
  <si>
    <t>S.10.01.04 - Securities lending and repos</t>
  </si>
  <si>
    <t>S.11.01.04 - Assets held as collateral</t>
  </si>
  <si>
    <t>S.15.01.04 - Description of the guarantees of variable annuities</t>
  </si>
  <si>
    <t>S.15.02.04 - Hedging of guarantees of variable annuities</t>
  </si>
  <si>
    <t>S.22.01.04 - Impact of long term guarantees measures and transitionals</t>
  </si>
  <si>
    <t>S.23.01.04 - Own funds</t>
  </si>
  <si>
    <t>S.23.02.04 - Detailed information by tiers on own funds</t>
  </si>
  <si>
    <t>S.23.03.04 - Annual movements on own funds</t>
  </si>
  <si>
    <t>S.23.04.04 - List of items on own funds</t>
  </si>
  <si>
    <t>S.25.01.04 - Solvency Capital Requirement - for groups on Standard Formula</t>
  </si>
  <si>
    <t>S.25.02.04 - Solvency Capital Requirement - for groups using the standard formula and partial internal model</t>
  </si>
  <si>
    <t>S.25.03.04 - Solvency Capital Requirement - for groups on Full Internal Models</t>
  </si>
  <si>
    <t>S.26.01.04 - Solvency Capital Requirement - Market risk</t>
  </si>
  <si>
    <t>S.26.02.04 - Solvency Capital Requirement - Counterparty default risk</t>
  </si>
  <si>
    <t>S.26.03.04 - Solvency Capital Requirement - Life underwriting risk</t>
  </si>
  <si>
    <t>S.26.04.04 - Solvency Capital Requirement - Health underwriting risk</t>
  </si>
  <si>
    <t>S.26.05.04 - Solvency Capital Requirement - Non-Life underwriting risk</t>
  </si>
  <si>
    <t>S.26.06.04 - Solvency Capital Requirement - Operational risk</t>
  </si>
  <si>
    <t>S.26.07.04 - Solvency Capital Requirement - Simplifications</t>
  </si>
  <si>
    <t>S.27.01.04 - Solvency Capital Requirement - Non-Life and Health catastrophe risk</t>
  </si>
  <si>
    <t>S.31.01.04 - Share of reinsurers (including Finite Reinsurance and SPV's)</t>
  </si>
  <si>
    <t>S.31.02.04 - Special Purpose Vehicles</t>
  </si>
  <si>
    <t>S.32.01.04 - Undertakings in the scope of the group</t>
  </si>
  <si>
    <t>R0700</t>
  </si>
  <si>
    <t>S.33.01.04 - Insurance and Reinsurance individual requirements</t>
  </si>
  <si>
    <t>R0710</t>
  </si>
  <si>
    <t>S.34.01.04 - Other regulated and non-regulated financial undertakings including insurance holding companies and mixed financial holding company individual requirements</t>
  </si>
  <si>
    <t>R0720</t>
  </si>
  <si>
    <t>S.35.01.04 - Contribution to group Technical Provisions</t>
  </si>
  <si>
    <t>R0730</t>
  </si>
  <si>
    <t>S.37.01.04 - Risk concentration</t>
  </si>
  <si>
    <t>R0780</t>
  </si>
  <si>
    <t>S.01.01.05.01 - Content of the submission</t>
  </si>
  <si>
    <t>S.01.01.07.01 - Content of the submission</t>
  </si>
  <si>
    <t>S.01.02.07 - Basic Information - General</t>
  </si>
  <si>
    <t>S.02.01.07 - Balance Sheet</t>
  </si>
  <si>
    <t>S.02.03.07 - Additional branch balance sheet information</t>
  </si>
  <si>
    <t>R0050</t>
  </si>
  <si>
    <t>S.06.02.07 - List of assets</t>
  </si>
  <si>
    <t>S.12.02.01 - Life and Health SLT Technical Provisions - By country</t>
  </si>
  <si>
    <t>S.18.01.01 - Projection of future cash flows (Best Estimate - Non-Life)</t>
  </si>
  <si>
    <t>S.23.01.07 - Own funds</t>
  </si>
  <si>
    <t>S.23.03.07 - Annual movements on own funds</t>
  </si>
  <si>
    <t>S.27.01.01 - Solvency Capital Requirement - Non-Life and Health catastrophe risk</t>
  </si>
  <si>
    <t>S.29.01.07 - Excess of Assets over Liabilities</t>
  </si>
  <si>
    <t>S.01.01.08.01 - Content of the submission</t>
  </si>
  <si>
    <t>S.02.01.08 - Balance Sheet</t>
  </si>
  <si>
    <t>S.01.01.10.01 - Content of the submission</t>
  </si>
  <si>
    <t>S.14.01.10 - Life obligations analysis</t>
  </si>
  <si>
    <t>S.38.01.10 - Duration of technical provisions</t>
  </si>
  <si>
    <t>R0950</t>
  </si>
  <si>
    <t>S.40.01.10 - Profit or Loss sharing</t>
  </si>
  <si>
    <t>R0970</t>
  </si>
  <si>
    <t>S.01.01.11.01 - Content of the submission</t>
  </si>
  <si>
    <t>S.25.04.11 - Solvency Capital Requirement</t>
  </si>
  <si>
    <t>R0490</t>
  </si>
  <si>
    <t>S.39.01.11 - Profit and Loss</t>
  </si>
  <si>
    <t>R0960</t>
  </si>
  <si>
    <t>S.41.01.11 - Lapses</t>
  </si>
  <si>
    <t>R0980</t>
  </si>
  <si>
    <t>S.01.01.12.01 - Content of the submission</t>
  </si>
  <si>
    <t>S.01.01.13.01 - Content of the submission</t>
  </si>
  <si>
    <t>S.02.01.02 - Balance Sheet</t>
  </si>
  <si>
    <t>S.05.01.13 - Premiums, claims and expenses by line of business</t>
  </si>
  <si>
    <t>S.23.01.13 - Own funds</t>
  </si>
  <si>
    <t>S.25.04.13 - Solvency Capital Requirement</t>
  </si>
  <si>
    <t>S.01.01.14.01 - Content of the submission</t>
  </si>
  <si>
    <t>S.01.01.15.01 - Content of the submission</t>
  </si>
  <si>
    <t>SR.01.01.01.01 - Content of the submission</t>
  </si>
  <si>
    <t>Sheets</t>
  </si>
  <si>
    <t>Z Axis:</t>
  </si>
  <si>
    <t>Ring-fenced fund/matching portfolio/remaining part</t>
  </si>
  <si>
    <t>Z0010</t>
  </si>
  <si>
    <t>Fund/Portfolio Number</t>
  </si>
  <si>
    <t>Z0020</t>
  </si>
  <si>
    <t>hier_0</t>
  </si>
  <si>
    <t>SR.02.01.01 - Balance sheet</t>
  </si>
  <si>
    <t>R0790</t>
  </si>
  <si>
    <t>SR.12.01.01 - Life and Health SLT Technical Provisions</t>
  </si>
  <si>
    <t>R0800</t>
  </si>
  <si>
    <t>SR.17.01.01 - Non-Life Technical Provisions</t>
  </si>
  <si>
    <t>R0810</t>
  </si>
  <si>
    <t>SR.22.02.01 - Projection of future cash flows (Best Estimate - Matching portfolios)</t>
  </si>
  <si>
    <t>R0820</t>
  </si>
  <si>
    <t>SR.22.03.01 - Information on the matching adjustment calculation</t>
  </si>
  <si>
    <t>R0830</t>
  </si>
  <si>
    <t>SR.25.01.01 - Solvency Capital Requirement - for undertakings on Standard Formula</t>
  </si>
  <si>
    <t>R0840</t>
  </si>
  <si>
    <t>SR.25.02.01 - Solvency Capital Requirement - for undertakings using the standard formula and partial internal model</t>
  </si>
  <si>
    <t>R0850</t>
  </si>
  <si>
    <t>SR.25.03.01 - Solvency Capital Requirement - for undertakings on Full Internal Models</t>
  </si>
  <si>
    <t>R0860</t>
  </si>
  <si>
    <t>SR.26.01.01 - Solvency Capital Requirement - Market risk</t>
  </si>
  <si>
    <t>R0870</t>
  </si>
  <si>
    <t>SR.26.02.01 - Solvency Capital Requirement - Counterparty default risk</t>
  </si>
  <si>
    <t>R0880</t>
  </si>
  <si>
    <t>SR.26.03.01 - Solvency Capital Requirement - Life underwriting risk</t>
  </si>
  <si>
    <t>R0890</t>
  </si>
  <si>
    <t>SR.26.04.01 - Solvency Capital Requirement - Health underwriting risk</t>
  </si>
  <si>
    <t>R0900</t>
  </si>
  <si>
    <t>SR.26.05.01 - Solvency Capital Requirement - Non-Life underwriting risk</t>
  </si>
  <si>
    <t>R0910</t>
  </si>
  <si>
    <t>SR.26.06.01 - Solvency Capital Requirement - Operational risk</t>
  </si>
  <si>
    <t>R0920</t>
  </si>
  <si>
    <t>SR.26.07.01 - Solvency Capital Requirement - Simplifications</t>
  </si>
  <si>
    <t>R0930</t>
  </si>
  <si>
    <t>SR.27.01.01 - Solvency Capital Requirement - Non-life and Health catastrophe risk</t>
  </si>
  <si>
    <t>R0940</t>
  </si>
  <si>
    <t>SR.01.01.04.01 - Content of the submission</t>
  </si>
  <si>
    <t>SR.25.01.04 - Solvency Capital Requirement - for groups on Standard Formula</t>
  </si>
  <si>
    <t>SR.25.02.04 - Solvency Capital Requirement - for groups using the standard formula and partial internal model</t>
  </si>
  <si>
    <t>SR.25.03.04 - Solvency Capital Requirement - for groups on Full Internal Models</t>
  </si>
  <si>
    <t>SR.01.01.07.01 - Content of the submission</t>
  </si>
  <si>
    <t>SR.02.01.07 - Balance Sheet</t>
  </si>
  <si>
    <t>SR.27.01.01 - Solvency Capital Requirement - Non-Life and Health catastrophe risk</t>
  </si>
  <si>
    <t>SE.01.01.16.01 - Content of the submission</t>
  </si>
  <si>
    <t>SE.02.01.16 - Balance Sheet</t>
  </si>
  <si>
    <t>ER0030</t>
  </si>
  <si>
    <t>SE.06.02.16 - List of assets</t>
  </si>
  <si>
    <t>ER0140</t>
  </si>
  <si>
    <t>E.01.01.16 - Deposits to cedants - line-by-line reporting</t>
  </si>
  <si>
    <t>ER1000</t>
  </si>
  <si>
    <t>E.02.01.16 - Pension entitlements</t>
  </si>
  <si>
    <t>ER1010</t>
  </si>
  <si>
    <t>E.03.01.16 - Non-life Technical Provisions - reinsurance policies - By country</t>
  </si>
  <si>
    <t>ER1020</t>
  </si>
  <si>
    <t>SE.01.01.17.01 - Content of the submission</t>
  </si>
  <si>
    <t>SE.02.01.17 - Balance Sheet</t>
  </si>
  <si>
    <t>SE.01.01.18.01 - Content of the submission</t>
  </si>
  <si>
    <t>SE.02.01.18 - Balance Sheet</t>
  </si>
  <si>
    <t>S.03.01.01 - Off-balance sheet items -general</t>
  </si>
  <si>
    <t>SE.06.02.18 - List of assets</t>
  </si>
  <si>
    <t>SE.01.01.19.01 - Content of the submission</t>
  </si>
  <si>
    <t>SE.02.01.19 - Balance Sheet</t>
  </si>
  <si>
    <t>S.01.02.01.01 - Basic Information - General</t>
  </si>
  <si>
    <t>Undertaking name</t>
  </si>
  <si>
    <t>Undertaking identification code and type of code</t>
  </si>
  <si>
    <t>Type of undertaking</t>
  </si>
  <si>
    <t>Country of authorisation</t>
  </si>
  <si>
    <t>Language of reporting</t>
  </si>
  <si>
    <t>Reporting submission date</t>
  </si>
  <si>
    <t>Financial year end</t>
  </si>
  <si>
    <t>R0081</t>
  </si>
  <si>
    <t>Reporting reference date</t>
  </si>
  <si>
    <t>Regular/Ad-hoc submission</t>
  </si>
  <si>
    <t>Currency used for reporting</t>
  </si>
  <si>
    <t>Accounting standards</t>
  </si>
  <si>
    <t>Method of Calculation of the SCR</t>
  </si>
  <si>
    <t>Ring-fenced funds</t>
  </si>
  <si>
    <t>Matching adjustment</t>
  </si>
  <si>
    <t>Volatility adjustment</t>
  </si>
  <si>
    <t>Transitional measure on the risk-free interest rate</t>
  </si>
  <si>
    <t>Transitional measure on technical provisions</t>
  </si>
  <si>
    <t>Initial submission or re-submission</t>
  </si>
  <si>
    <t>Exemption of reporting ECAI information</t>
  </si>
  <si>
    <t>URL to the webpage where the Solvency and Financial Condition Report (SFCR) is disclosed</t>
  </si>
  <si>
    <t>R0255</t>
  </si>
  <si>
    <t>Direct URL to download the Solvency and Financial Condition Report (SFCR) corresponding to this financial year reporting obligation (R0090)</t>
  </si>
  <si>
    <t>Ad hoc XBRL technical field 1</t>
  </si>
  <si>
    <t>R0990</t>
  </si>
  <si>
    <t>Ad hoc XBRL technical field 2</t>
  </si>
  <si>
    <t>R0991</t>
  </si>
  <si>
    <t>Ad hoc XBRL technical field 3</t>
  </si>
  <si>
    <t>R0992</t>
  </si>
  <si>
    <t>S.01.02.04.01 - Basic Information - General</t>
  </si>
  <si>
    <t>Participating undertaking name</t>
  </si>
  <si>
    <t>Group identification code and type of code</t>
  </si>
  <si>
    <t>Country of the group supervisor</t>
  </si>
  <si>
    <t>Method of Calculation of the group SCR</t>
  </si>
  <si>
    <t>Method of group solvency calculation</t>
  </si>
  <si>
    <t>S.01.02.07.01 - Basic Information</t>
  </si>
  <si>
    <t>Name of Third Country Undertaking</t>
  </si>
  <si>
    <t>Country of third country undertaking</t>
  </si>
  <si>
    <t>Name of a third country branch</t>
  </si>
  <si>
    <t>Country of third country branch</t>
  </si>
  <si>
    <t>Identification code and type of code of third country branch</t>
  </si>
  <si>
    <t>Type of branch</t>
  </si>
  <si>
    <t>S.01.02.07.02 - Article 167</t>
  </si>
  <si>
    <t>C0020</t>
  </si>
  <si>
    <t>Article 167</t>
  </si>
  <si>
    <t>S.01.02.07.03 - Branches included under Article 167</t>
  </si>
  <si>
    <t>Country of a branch</t>
  </si>
  <si>
    <t>C0040</t>
  </si>
  <si>
    <t>Name of a branch</t>
  </si>
  <si>
    <t>C0030</t>
  </si>
  <si>
    <t>S.01.03.01.01 - List of all RFF/MAP (overlaps allowed)</t>
  </si>
  <si>
    <t>Fund /Portfolio Number</t>
  </si>
  <si>
    <t>Name of ring-fenced fund/Matching adjustment portfolio</t>
  </si>
  <si>
    <t>C0050</t>
  </si>
  <si>
    <t>RFF/MAP/Remaining part of a fund</t>
  </si>
  <si>
    <t>C0060</t>
  </si>
  <si>
    <t>RFF/MAP with sub RFF/MAP</t>
  </si>
  <si>
    <t>C0070</t>
  </si>
  <si>
    <t>C0080</t>
  </si>
  <si>
    <t>Article 304</t>
  </si>
  <si>
    <t>C0090</t>
  </si>
  <si>
    <t>S.01.03.01.02 - List of RFF/MAP with sub RFF/MAP</t>
  </si>
  <si>
    <t>Number of RFF/MAP with sub RFF/MAP</t>
  </si>
  <si>
    <t>C0100</t>
  </si>
  <si>
    <t>Number of sub RFF/MAP</t>
  </si>
  <si>
    <t>C0110</t>
  </si>
  <si>
    <t>Sub RFF/MAP</t>
  </si>
  <si>
    <t>C0120</t>
  </si>
  <si>
    <t>S.01.03.04.01 - List of all RFF/MAP (overlaps allowed)</t>
  </si>
  <si>
    <t>Identification code and type of code of the undertaking</t>
  </si>
  <si>
    <t>Legal name of the undertaking</t>
  </si>
  <si>
    <t>S.01.03.04.02 - List of RFF/MAP with sub RFF/MAP</t>
  </si>
  <si>
    <t>Number of RFF / MAP with sub RFF / MAP</t>
  </si>
  <si>
    <t>S.02.01.01.01 - Balance sheet</t>
  </si>
  <si>
    <t>Solvency II value</t>
  </si>
  <si>
    <t>Statutory accounts value</t>
  </si>
  <si>
    <t>Assets</t>
  </si>
  <si>
    <t>Goodwill</t>
  </si>
  <si>
    <t>Deferred acquisition costs</t>
  </si>
  <si>
    <t>Intangible assets</t>
  </si>
  <si>
    <t>Deferred tax assets</t>
  </si>
  <si>
    <t>Pension benefit surplus</t>
  </si>
  <si>
    <t>Property, plant &amp; equipment held for own use</t>
  </si>
  <si>
    <t>Investments (other than assets held for index-linked and unit-linked contracts)</t>
  </si>
  <si>
    <t>Property (other than for own use)</t>
  </si>
  <si>
    <t>Holdings in related undertakings, including participations</t>
  </si>
  <si>
    <t>Equities - listed</t>
  </si>
  <si>
    <t>Equities - unlisted</t>
  </si>
  <si>
    <t>Bonds</t>
  </si>
  <si>
    <t>Collective Investments Undertakings</t>
  </si>
  <si>
    <t>Deposits other than cash equivalents</t>
  </si>
  <si>
    <t>Assets held for index-linked and unit-linked contracts</t>
  </si>
  <si>
    <t>Loans and mortgages</t>
  </si>
  <si>
    <t>Loans on policies</t>
  </si>
  <si>
    <t>Loans and mortgages to individuals</t>
  </si>
  <si>
    <t>Other loans and mortgages</t>
  </si>
  <si>
    <t>Reinsurance recoverables from:</t>
  </si>
  <si>
    <t>Non-life and health similar to non-life</t>
  </si>
  <si>
    <t>Non-life excluding health</t>
  </si>
  <si>
    <t>Health similar to non-life</t>
  </si>
  <si>
    <t>Life and health similar to life, excluding health and index-linked and unit-linked</t>
  </si>
  <si>
    <t>Health similar to life</t>
  </si>
  <si>
    <t>Life excluding health and index-linked and unit-linked</t>
  </si>
  <si>
    <t>Life index-linked and unit-linked</t>
  </si>
  <si>
    <t>Deposits to cedants</t>
  </si>
  <si>
    <t>Insurance and intermediaries receivables</t>
  </si>
  <si>
    <t>Reinsurance receivables</t>
  </si>
  <si>
    <t>Receivables (trade, not insurance)</t>
  </si>
  <si>
    <t>Own shares (held directly)</t>
  </si>
  <si>
    <t>Amounts due in respect of own fund items or initial fund called up but not yet paid in</t>
  </si>
  <si>
    <t>Cash and cash equivalents</t>
  </si>
  <si>
    <t>Any other assets, not elsewhere shown</t>
  </si>
  <si>
    <t>Total assets</t>
  </si>
  <si>
    <t>Technical provisions - non-life</t>
  </si>
  <si>
    <t>Technical provisions - non-life (excluding health)</t>
  </si>
  <si>
    <t>Technical provisions calculated as a whole</t>
  </si>
  <si>
    <t>Best Estimate</t>
  </si>
  <si>
    <t>Risk margin</t>
  </si>
  <si>
    <t>Technical provisions - health (similar to non-life)</t>
  </si>
  <si>
    <t>Technical provisions - life (excluding index-linked and unit-linked)</t>
  </si>
  <si>
    <t>Technical provisions - health (similar to life)</t>
  </si>
  <si>
    <t>Technical provisions - life (excluding health and index-linked and unit-linked)</t>
  </si>
  <si>
    <t>Technical provisions - index-linked and unit-linked</t>
  </si>
  <si>
    <t>Other technical provisions</t>
  </si>
  <si>
    <t>Provisions other than technical provisions</t>
  </si>
  <si>
    <t>Pension benefit obligations</t>
  </si>
  <si>
    <t>Deposits from reinsurers</t>
  </si>
  <si>
    <t>Deferred tax liabilities</t>
  </si>
  <si>
    <t>Debts owed to credit institutions</t>
  </si>
  <si>
    <t>Financial liabilities other than debts owed to credit institutions</t>
  </si>
  <si>
    <t>Insurance &amp; intermediaries payables</t>
  </si>
  <si>
    <t>Reinsurance payables</t>
  </si>
  <si>
    <t>Payables (trade, not insurance)</t>
  </si>
  <si>
    <t>Subordinated liabilities</t>
  </si>
  <si>
    <t>Subordinated liabilities not in Basic Own Funds</t>
  </si>
  <si>
    <t>Subordinated liabilities in Basic Own Funds</t>
  </si>
  <si>
    <t>Any other liabilities, not elsewhere shown</t>
  </si>
  <si>
    <t>Total liabilities</t>
  </si>
  <si>
    <t>Excess of assets over liabilities</t>
  </si>
  <si>
    <t>R1000</t>
  </si>
  <si>
    <t>S.02.01.02.01 - Balance sheet</t>
  </si>
  <si>
    <t>S.02.01.07.01 - Balance sheet</t>
  </si>
  <si>
    <t>Branch management accounts value</t>
  </si>
  <si>
    <t>S.02.01.08.01 - Balance sheet</t>
  </si>
  <si>
    <t>SR.02.01.01.01 - Balance sheet</t>
  </si>
  <si>
    <t>Ring Fenced Fund or remaining part</t>
  </si>
  <si>
    <t>Fund number</t>
  </si>
  <si>
    <t>Z0030</t>
  </si>
  <si>
    <t>SR.02.01.07.01 - Balance sheet</t>
  </si>
  <si>
    <t>Ring-fenced fund or remaining part</t>
  </si>
  <si>
    <t>SE.02.01.16.01 - Balance sheet</t>
  </si>
  <si>
    <t>Reclassification adjustments</t>
  </si>
  <si>
    <t>EC0021</t>
  </si>
  <si>
    <t>Debts owed to credit institutions resident domestically</t>
  </si>
  <si>
    <t>ER0801</t>
  </si>
  <si>
    <t>Debts owed to credit institutions resident in the euro area other than domestic</t>
  </si>
  <si>
    <t>ER0802</t>
  </si>
  <si>
    <t>Debts owed to credit institutions resident in rest of the world</t>
  </si>
  <si>
    <t>ER0803</t>
  </si>
  <si>
    <t>Debts owed to non-credit institutions</t>
  </si>
  <si>
    <t>ER0811</t>
  </si>
  <si>
    <t>Debts owed to non-credit institutions resident domestically</t>
  </si>
  <si>
    <t>ER0812</t>
  </si>
  <si>
    <t>Debts owed to non-credit institutions resident in the euro area other than domestic</t>
  </si>
  <si>
    <t>ER0813</t>
  </si>
  <si>
    <t>Debts owed to non-credit institutions resident in rest of the world</t>
  </si>
  <si>
    <t>ER0814</t>
  </si>
  <si>
    <t>Other financial liabilities (debt securities issued)</t>
  </si>
  <si>
    <t>ER0815</t>
  </si>
  <si>
    <t>SE.02.01.17.01 - Balance sheet</t>
  </si>
  <si>
    <t>SE.02.01.18.01 - Balance sheet</t>
  </si>
  <si>
    <t>SE.02.01.19.01 - Balance sheet</t>
  </si>
  <si>
    <t>S.02.02.01.01 - All currencies</t>
  </si>
  <si>
    <t>Total value of all currencies</t>
  </si>
  <si>
    <t>Value of the solvency II reporting currency</t>
  </si>
  <si>
    <t>Value of remaining other currencies</t>
  </si>
  <si>
    <t>Other assets: Property, plant &amp; equipment held for own use, Cash and cash equivalents, Loans on policies, Loans &amp; mortgages to individuals and Other loans &amp; mortgages (other than index-linked and unit-linked contracts)</t>
  </si>
  <si>
    <t>Reinsurance recoverables</t>
  </si>
  <si>
    <t>Deposits to cedants, insurance and intermediaries receivables and reinsurance receivables</t>
  </si>
  <si>
    <t>Any other assets</t>
  </si>
  <si>
    <t>Technical provisions (excluding index-linked and unit-linked contracts)</t>
  </si>
  <si>
    <t>Technical provisions - index-linked and unit-linked contracts</t>
  </si>
  <si>
    <t>Deposits from reinsurers and insurance, intermediaries and reinsurance payables</t>
  </si>
  <si>
    <t>Financial liabilities</t>
  </si>
  <si>
    <t>Any other liabilities</t>
  </si>
  <si>
    <t>S.02.02.01.02 - Material currencies</t>
  </si>
  <si>
    <t>Value of material currencies</t>
  </si>
  <si>
    <t>Material currency</t>
  </si>
  <si>
    <t>S.02.03.07.01 - Net value of encumbered assets</t>
  </si>
  <si>
    <t>Net value of encumbered assets</t>
  </si>
  <si>
    <t>Total assets as per balance sheet</t>
  </si>
  <si>
    <t>S.02.03.07.02 - List of encumbered assets</t>
  </si>
  <si>
    <t>Code and type of code of encumbered assets</t>
  </si>
  <si>
    <t>Description of encumbered assets</t>
  </si>
  <si>
    <t>Gross value as per balance sheet</t>
  </si>
  <si>
    <t>Amount subject to prior security interests</t>
  </si>
  <si>
    <t>Description of encumbrance</t>
  </si>
  <si>
    <t>S.02.03.07.03 - List of preferential claims - payable from branch available assets in priority to insurance claims</t>
  </si>
  <si>
    <t>Line identification</t>
  </si>
  <si>
    <t>C0130</t>
  </si>
  <si>
    <t>Balance sheet liability</t>
  </si>
  <si>
    <t>Gross value</t>
  </si>
  <si>
    <t>Preferential claim</t>
  </si>
  <si>
    <t>Net amount</t>
  </si>
  <si>
    <t>S.03.01.01.01 - Value of guarantee / collateral / contingent liabilities</t>
  </si>
  <si>
    <t>Maximum value</t>
  </si>
  <si>
    <t>Value of guarantee / collateral / contingent liabilities</t>
  </si>
  <si>
    <t>Guarantees provided by the undertaking, including letters of credit</t>
  </si>
  <si>
    <t>Of which, guarantees, including letters of credit provided to other undertakings of the same group</t>
  </si>
  <si>
    <t>Guarantees received by the undertaking, including letters of credit</t>
  </si>
  <si>
    <t>Of which, guarantees, including letters of credit received from other undertakings of the same group</t>
  </si>
  <si>
    <t>Collateral held</t>
  </si>
  <si>
    <t>Collateral held for loans made or bonds purchased</t>
  </si>
  <si>
    <t>Collateral held for derivatives</t>
  </si>
  <si>
    <t>Assets pledged by reinsurers for ceded technical provisions</t>
  </si>
  <si>
    <t>Other collateral held</t>
  </si>
  <si>
    <t>Total collateral held</t>
  </si>
  <si>
    <t>Collateral pledged</t>
  </si>
  <si>
    <t>Collateral pledged for loans received or bonds issued</t>
  </si>
  <si>
    <t>Collateral pledged for derivatives</t>
  </si>
  <si>
    <t>Assets pledged to cedants for technical provisions (reinsurance accepted)</t>
  </si>
  <si>
    <t>Other collateral pledged</t>
  </si>
  <si>
    <t>Total collateral pledged</t>
  </si>
  <si>
    <t>Contingent liabilities not in Solvency II Balance Sheet</t>
  </si>
  <si>
    <t>Of which contingent liabilities toward entities of the same group</t>
  </si>
  <si>
    <t>Contingent liabilities in Solvency II Balance Sheet</t>
  </si>
  <si>
    <t>Total Contingent liabilities</t>
  </si>
  <si>
    <t>S.03.01.01.02 - Value of guaranteed assets and liabilities</t>
  </si>
  <si>
    <t>Value of assets for which collateral is held</t>
  </si>
  <si>
    <t>Value of liabilities for which collateral is pledged</t>
  </si>
  <si>
    <t>S.03.01.04.01 - Value of guarantee / collateral / contingent liabilities</t>
  </si>
  <si>
    <t>Guarantees provided by the group including letters of credit</t>
  </si>
  <si>
    <t>Guarantees received by the group including letters of credit</t>
  </si>
  <si>
    <t>S.03.01.04.02 - Value of guaranteed assets and liabilities</t>
  </si>
  <si>
    <t>S.03.02.01.01 - List of unlimited guarantees received by the undertaking</t>
  </si>
  <si>
    <t>Code of guarantee</t>
  </si>
  <si>
    <t>Name of provider of guarantee</t>
  </si>
  <si>
    <t>Code and type of code of provider of guarantee</t>
  </si>
  <si>
    <t>Provider of guarantee belonging to the same group</t>
  </si>
  <si>
    <t>Triggering event(s) of guarantee</t>
  </si>
  <si>
    <t>Specific triggering event(s) of guarantee</t>
  </si>
  <si>
    <t>Effective date of guarantee</t>
  </si>
  <si>
    <t>Ancillary Own Funds</t>
  </si>
  <si>
    <t>S.03.02.04.01 - List of unlimited guarantees received by the group</t>
  </si>
  <si>
    <t>S.03.03.01.01 - List of unlimited guarantees provided by the undertaking</t>
  </si>
  <si>
    <t>Name of receiver of guarantee</t>
  </si>
  <si>
    <t>Code and type of code of receiver of guarantee</t>
  </si>
  <si>
    <t>Receiver of guarantee belonging to the same group</t>
  </si>
  <si>
    <t>Estimation of the maximum value of guarantee</t>
  </si>
  <si>
    <t>S.03.03.04.01 - List of unlimited guarantees provided by the group</t>
  </si>
  <si>
    <t>S.04.01.01.01 - Undertaking and all branches</t>
  </si>
  <si>
    <t>Line of business</t>
  </si>
  <si>
    <t>Undertaking</t>
  </si>
  <si>
    <t>Business underwritten in the home country, by the undertaking</t>
  </si>
  <si>
    <t>Business underwritten through FPS, by the undertaking in the EEA countries different from the home country</t>
  </si>
  <si>
    <t>Business underwritten through FPS in the home country, by any EEA branch</t>
  </si>
  <si>
    <t>All EEA members</t>
  </si>
  <si>
    <t>Total business underwritten by all EEA branches in the country where they are established</t>
  </si>
  <si>
    <t>Total business underwritten through FPS, by all EEA branches</t>
  </si>
  <si>
    <t>Total of the business underwritten through FPS by the undertaking and all EEA branches</t>
  </si>
  <si>
    <t>Total business underwritten by all non-EEA branches</t>
  </si>
  <si>
    <t>Premiums written</t>
  </si>
  <si>
    <t>Claims incurred</t>
  </si>
  <si>
    <t>Commissions</t>
  </si>
  <si>
    <t>S.04.01.01.02 - By EEA member (location of the branch)</t>
  </si>
  <si>
    <t>By EEA member</t>
  </si>
  <si>
    <t>Business underwritten in the considered country, by the EEA branch established in this country</t>
  </si>
  <si>
    <t>Business underwritten through FPS, by the EEA branch established in the considered country</t>
  </si>
  <si>
    <t>EEA member</t>
  </si>
  <si>
    <t>S.04.01.01.03 - By EEA member (localization of activity [based on place of underwriting])</t>
  </si>
  <si>
    <t>Business underwritten in the considered country through FPS, by the undertaking or any EEA branch</t>
  </si>
  <si>
    <t>S.04.01.01.04 - By material non-EEA member</t>
  </si>
  <si>
    <t>By material non-EEA member</t>
  </si>
  <si>
    <t>Business underwritten by material non-EEA country branches</t>
  </si>
  <si>
    <t>Non-EEA member</t>
  </si>
  <si>
    <t>S.04.02.01.01 - Information on class 10 in Part A of Annex I of Solvency II Directive, excluding carrier's liability. Part 1</t>
  </si>
  <si>
    <t>FPS</t>
  </si>
  <si>
    <t>Frequency of claims for Motor Vehicle Liability (except carrier's liability)</t>
  </si>
  <si>
    <t>Average cost of claims for Motor Vehicle Liability (except carrier's liability)</t>
  </si>
  <si>
    <t>S.04.02.01.02 - Information on class 10 in Part A of Annex I of Solvency II Directive, excluding carrier's liability. Part 2</t>
  </si>
  <si>
    <t>By EEA Member</t>
  </si>
  <si>
    <t>Branch</t>
  </si>
  <si>
    <t>S.05.01.01.01 - Non-Life (direct business/accepted proportional reinsurance and accepted non-proportional reinsurance)</t>
  </si>
  <si>
    <t>Line of Business for: non-life insurance and reinsurance obligations (direct business and accepted proportional reinsurance)</t>
  </si>
  <si>
    <t>Medical expense insurance</t>
  </si>
  <si>
    <t>Income protection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</si>
  <si>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</si>
  <si>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</si>
  <si>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</si>
  <si>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</si>
  <si>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</si>
  <si>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</si>
  <si>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</si>
  <si>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Legal expenses insurance</t>
  </si>
  <si>
    <t>Assistance</t>
  </si>
  <si>
    <t>Miscellaneous financial loss</t>
  </si>
  <si>
    <t>Line of Business for: accepted non-proportional reinsurance</t>
  </si>
  <si>
    <t>Health</t>
  </si>
  <si>
    <t>Casualty</t>
  </si>
  <si>
    <t>C0140</t>
  </si>
  <si>
    <t>Marine, aviation, transport</t>
  </si>
  <si>
    <t>C0150</t>
  </si>
  <si>
    <t>Property</t>
  </si>
  <si>
    <t>C0160</t>
  </si>
  <si>
    <t>Total</t>
  </si>
  <si>
    <t>C0200</t>
  </si>
  <si>
    <t>Gross - Direct Business</t>
  </si>
  <si>
    <t>Gross - Proportional reinsurance accepted</t>
  </si>
  <si>
    <t>Gross - Non-proportional reinsurance accepted</t>
  </si>
  <si>
    <t>Reinsurers' share</t>
  </si>
  <si>
    <t>Net</t>
  </si>
  <si>
    <t>Premiums earned</t>
  </si>
  <si>
    <t>Changes in other technical provisions</t>
  </si>
  <si>
    <t>Gross - Non- proportional reinsurance accepted</t>
  </si>
  <si>
    <t>Expenses incurred</t>
  </si>
  <si>
    <t>Administrative expenses</t>
  </si>
  <si>
    <t>Investment management expenses</t>
  </si>
  <si>
    <t>Claims management expenses</t>
  </si>
  <si>
    <t>Acquisition expenses</t>
  </si>
  <si>
    <t>Overhead expenses</t>
  </si>
  <si>
    <t>R1010</t>
  </si>
  <si>
    <t>R1020</t>
  </si>
  <si>
    <t>R1030</t>
  </si>
  <si>
    <t>R1040</t>
  </si>
  <si>
    <t>R1100</t>
  </si>
  <si>
    <t>Other expenses</t>
  </si>
  <si>
    <t>R1200</t>
  </si>
  <si>
    <t>Total expenses</t>
  </si>
  <si>
    <t>R1300</t>
  </si>
  <si>
    <t>S.05.01.01.02 - Life</t>
  </si>
  <si>
    <t>Line of Business for: life insurance obligations</t>
  </si>
  <si>
    <t>Health insurance</t>
  </si>
  <si>
    <t>C0210</t>
  </si>
  <si>
    <t>C0220</t>
  </si>
  <si>
    <t>Index-linked and unit-linked insurance</t>
  </si>
  <si>
    <t>C0230</t>
  </si>
  <si>
    <t>Other life insurance</t>
  </si>
  <si>
    <t>C0240</t>
  </si>
  <si>
    <t>C0250</t>
  </si>
  <si>
    <t>C0260</t>
  </si>
  <si>
    <t>Life reinsurance obligations</t>
  </si>
  <si>
    <t>C0270</t>
  </si>
  <si>
    <t>C0280</t>
  </si>
  <si>
    <t>C0300</t>
  </si>
  <si>
    <t>Gross</t>
  </si>
  <si>
    <t>R1410</t>
  </si>
  <si>
    <t>R1420</t>
  </si>
  <si>
    <t>R1500</t>
  </si>
  <si>
    <t>R1510</t>
  </si>
  <si>
    <t>R1520</t>
  </si>
  <si>
    <t>R1600</t>
  </si>
  <si>
    <t>R1610</t>
  </si>
  <si>
    <t>R1620</t>
  </si>
  <si>
    <t>R1700</t>
  </si>
  <si>
    <t>R1710</t>
  </si>
  <si>
    <t>R1720</t>
  </si>
  <si>
    <t>R1800</t>
  </si>
  <si>
    <t>R1900</t>
  </si>
  <si>
    <t>R1910</t>
  </si>
  <si>
    <t>R1920</t>
  </si>
  <si>
    <t>R2000</t>
  </si>
  <si>
    <t>R2010</t>
  </si>
  <si>
    <t>R2020</t>
  </si>
  <si>
    <t>R2100</t>
  </si>
  <si>
    <t>R2110</t>
  </si>
  <si>
    <t>R2120</t>
  </si>
  <si>
    <t>R2200</t>
  </si>
  <si>
    <t>R2210</t>
  </si>
  <si>
    <t>R2220</t>
  </si>
  <si>
    <t>R2300</t>
  </si>
  <si>
    <t>R2310</t>
  </si>
  <si>
    <t>R2320</t>
  </si>
  <si>
    <t>R2400</t>
  </si>
  <si>
    <t>R2500</t>
  </si>
  <si>
    <t>R2600</t>
  </si>
  <si>
    <t>Total amount of surrenders</t>
  </si>
  <si>
    <t>R2700</t>
  </si>
  <si>
    <t>S.05.01.02.01 - Non-Life (direct business/accepted proportional reinsurance and accepted non-proportional reinsurance)</t>
  </si>
  <si>
    <t>S.05.01.02.02 - Life</t>
  </si>
  <si>
    <t>S.05.01.13.01 - Non-Life (direct business/accepted proportional reinsurance and accepted non-proportional reinsurance)</t>
  </si>
  <si>
    <t>Line of business for: accepted non-proportional reinsurance</t>
  </si>
  <si>
    <t>S.05.01.13.02 - Life</t>
  </si>
  <si>
    <t>S.05.02.01.01 - Home Country - non-life obligations</t>
  </si>
  <si>
    <t>Home country</t>
  </si>
  <si>
    <t>S.05.02.01.02 - Top 5 countries (by amount of gross premiums written) - non-life obligations</t>
  </si>
  <si>
    <t>Country (by amount of gross premiums written) - non-life obligations</t>
  </si>
  <si>
    <t>S.05.02.01.03 - Total Top 5 and home country - non-life obligations</t>
  </si>
  <si>
    <t>Total Top 5 and home country</t>
  </si>
  <si>
    <t>S.05.02.01.04 - Home Country - life obligations</t>
  </si>
  <si>
    <t>S.05.02.01.05 - Top 5 countries (by amount of gross premiums written) - life obligations</t>
  </si>
  <si>
    <t>Country (by amount of gross premiums written) - life obligations</t>
  </si>
  <si>
    <t>S.05.02.01.06 - Total Top 5 and home country - life obligations</t>
  </si>
  <si>
    <t>S.06.01.01.01 - Summary of assets</t>
  </si>
  <si>
    <t>Non-life</t>
  </si>
  <si>
    <t>General</t>
  </si>
  <si>
    <t>Assets listing</t>
  </si>
  <si>
    <t>Assets listed</t>
  </si>
  <si>
    <t>Assets that are not listed in a stock exchange</t>
  </si>
  <si>
    <t>Assets that are not exchange tradable</t>
  </si>
  <si>
    <t>By category</t>
  </si>
  <si>
    <t>Government bonds</t>
  </si>
  <si>
    <t>Corporate bonds</t>
  </si>
  <si>
    <t>Equity</t>
  </si>
  <si>
    <t>Collective Investment Undertakings</t>
  </si>
  <si>
    <t>S.06.02.01.01 - Information on positions held</t>
  </si>
  <si>
    <t>C0001</t>
  </si>
  <si>
    <t>Asset ID Code and Type of code</t>
  </si>
  <si>
    <t>Matching portfolio number</t>
  </si>
  <si>
    <t>Portfolio</t>
  </si>
  <si>
    <t>Asset held in unit linked and index linked contracts</t>
  </si>
  <si>
    <t>Asset pledged as collateral</t>
  </si>
  <si>
    <t>Country of custody</t>
  </si>
  <si>
    <t>Custodian</t>
  </si>
  <si>
    <t>Quantity</t>
  </si>
  <si>
    <t>Par amount</t>
  </si>
  <si>
    <t>Valuation method</t>
  </si>
  <si>
    <t>Acquisition value</t>
  </si>
  <si>
    <t>Total Solvency II amount</t>
  </si>
  <si>
    <t>C0170</t>
  </si>
  <si>
    <t>Accrued interest</t>
  </si>
  <si>
    <t>C0180</t>
  </si>
  <si>
    <t>S.06.02.01.02 - Information on assets</t>
  </si>
  <si>
    <t>Item Title</t>
  </si>
  <si>
    <t>C0190</t>
  </si>
  <si>
    <t>Issuer Name</t>
  </si>
  <si>
    <t>Issuer Code and Type of code</t>
  </si>
  <si>
    <t>Issuer Sector</t>
  </si>
  <si>
    <t>Issuer Group</t>
  </si>
  <si>
    <t>Issuer Group Code and Type of code</t>
  </si>
  <si>
    <t>Issuer Country</t>
  </si>
  <si>
    <t>Currency</t>
  </si>
  <si>
    <t>CIC</t>
  </si>
  <si>
    <t>C0290</t>
  </si>
  <si>
    <t>SCR calculation approach for CIU</t>
  </si>
  <si>
    <t>C0292</t>
  </si>
  <si>
    <t>Infrastructure investment</t>
  </si>
  <si>
    <t>C0310</t>
  </si>
  <si>
    <t>External rating</t>
  </si>
  <si>
    <t>C0320</t>
  </si>
  <si>
    <t>Nominated ECAI</t>
  </si>
  <si>
    <t>C0330</t>
  </si>
  <si>
    <t>Credit quality step</t>
  </si>
  <si>
    <t>C0340</t>
  </si>
  <si>
    <t>Internal rating</t>
  </si>
  <si>
    <t>C0350</t>
  </si>
  <si>
    <t>Duration</t>
  </si>
  <si>
    <t>C0360</t>
  </si>
  <si>
    <t>Unit Solvency II price</t>
  </si>
  <si>
    <t>C0370</t>
  </si>
  <si>
    <t>Unit percentage of par amount Solvency II price</t>
  </si>
  <si>
    <t>C0380</t>
  </si>
  <si>
    <t>Maturity date</t>
  </si>
  <si>
    <t>C0390</t>
  </si>
  <si>
    <t>S.06.02.04.01 - Information on positions held</t>
  </si>
  <si>
    <t>S.06.02.04.02 - Information on assets</t>
  </si>
  <si>
    <t>Participation</t>
  </si>
  <si>
    <t>S.06.02.07.01 - Information on positions held</t>
  </si>
  <si>
    <t>Deposit lodged as security in accordance with Article 162 (2)€</t>
  </si>
  <si>
    <t>C0400</t>
  </si>
  <si>
    <t>Confirmation that there are no rights of set off</t>
  </si>
  <si>
    <t>C0410</t>
  </si>
  <si>
    <t>S.06.02.07.02 - Information on assets</t>
  </si>
  <si>
    <t>SE.06.02.16.01 - List of assets. Information on positions held</t>
  </si>
  <si>
    <t>Write-offs/write-downs</t>
  </si>
  <si>
    <t>EC0141</t>
  </si>
  <si>
    <t>SE.06.02.16.02 - List of assets. Information on assets</t>
  </si>
  <si>
    <t>Issuer Sector according to ESA 2010</t>
  </si>
  <si>
    <t>EC0231</t>
  </si>
  <si>
    <t>Country of residence for collective investment undertakings</t>
  </si>
  <si>
    <t>EC0271</t>
  </si>
  <si>
    <t>Instrument classification according to ESA 2010</t>
  </si>
  <si>
    <t>EC0291</t>
  </si>
  <si>
    <t>Issue date</t>
  </si>
  <si>
    <t>EC0381</t>
  </si>
  <si>
    <t>SE.06.02.18.01 - List of assets. Information on positions held</t>
  </si>
  <si>
    <t>SE.06.02.18.02 - List of assets. Information on assets</t>
  </si>
  <si>
    <t>S.06.03.01.01 - Collective investment undertakings - look-through approach</t>
  </si>
  <si>
    <t>Collective Investments Undertaking ID Code and Type of code</t>
  </si>
  <si>
    <t>Underlying asset category</t>
  </si>
  <si>
    <t>Country of issue</t>
  </si>
  <si>
    <t>Total amount</t>
  </si>
  <si>
    <t>S.06.03.04.01 - Collective investment undertakings - look-through approach</t>
  </si>
  <si>
    <t>S.07.01.01.01 - Structured products</t>
  </si>
  <si>
    <t>Collateral type</t>
  </si>
  <si>
    <t>Type of structured product</t>
  </si>
  <si>
    <t>Capital protection</t>
  </si>
  <si>
    <t>Underlying security/index/portfolio</t>
  </si>
  <si>
    <t>Callable or Putable</t>
  </si>
  <si>
    <t>Synthetic structured product</t>
  </si>
  <si>
    <t>Prepayment structured product</t>
  </si>
  <si>
    <t>Collateral value</t>
  </si>
  <si>
    <t>Collateral portfolio</t>
  </si>
  <si>
    <t>Fixed Annual Return</t>
  </si>
  <si>
    <t>Variable Annual Return</t>
  </si>
  <si>
    <t>Loss given default</t>
  </si>
  <si>
    <t>Attachment point</t>
  </si>
  <si>
    <t>Detachment point</t>
  </si>
  <si>
    <t>S.07.01.04.01 - Structured products</t>
  </si>
  <si>
    <t>S.08.01.01.01 - Information on positions held</t>
  </si>
  <si>
    <t>C0440</t>
  </si>
  <si>
    <t>Derivative ID Code and Type of code</t>
  </si>
  <si>
    <t>Instrument underlying the derivative (code and type of code)</t>
  </si>
  <si>
    <t>Derivatives held in index-linked and unit-linked contracts</t>
  </si>
  <si>
    <t>Use of derivative</t>
  </si>
  <si>
    <t>Delta</t>
  </si>
  <si>
    <t>Notional amount of the derivative</t>
  </si>
  <si>
    <t>Buyer / Seller</t>
  </si>
  <si>
    <t>Premium paid to date</t>
  </si>
  <si>
    <t>Premium received to date</t>
  </si>
  <si>
    <t>Number of contracts</t>
  </si>
  <si>
    <t>Contract size</t>
  </si>
  <si>
    <t>Maximum loss under unwinding event</t>
  </si>
  <si>
    <t>Swap outflow amount</t>
  </si>
  <si>
    <t>Swap inflow amount</t>
  </si>
  <si>
    <t>Initial date</t>
  </si>
  <si>
    <t>S.08.01.01.02 - Information on derivatives</t>
  </si>
  <si>
    <t>Counterparty Name</t>
  </si>
  <si>
    <t>Counterparty Code and Type of code</t>
  </si>
  <si>
    <t>Counterparty Group</t>
  </si>
  <si>
    <t>Counterparty group code and type of code</t>
  </si>
  <si>
    <t>Contract name</t>
  </si>
  <si>
    <t>Trigger value</t>
  </si>
  <si>
    <t>Unwind trigger of contract</t>
  </si>
  <si>
    <t>Swap delivered currency</t>
  </si>
  <si>
    <t>Swap received currency</t>
  </si>
  <si>
    <t>C0420</t>
  </si>
  <si>
    <t>C0430</t>
  </si>
  <si>
    <t>S.08.01.04.01 - Information on positions held</t>
  </si>
  <si>
    <t>S.08.01.04.02 - Information on derivatives</t>
  </si>
  <si>
    <t>S.08.02.01.01 - Information on positions held</t>
  </si>
  <si>
    <t>Profit and loss to date</t>
  </si>
  <si>
    <t>S.08.02.01.02 - Information on derivatives</t>
  </si>
  <si>
    <t>Counterparty group</t>
  </si>
  <si>
    <t>Counterparty Group Code and Type of code</t>
  </si>
  <si>
    <t>S.08.02.04.01 - Information on positions held</t>
  </si>
  <si>
    <t>S.08.02.04.02 - Information on derivatives</t>
  </si>
  <si>
    <t>S.09.01.01.01 - Income/gains and losses in the period</t>
  </si>
  <si>
    <t>Asset category</t>
  </si>
  <si>
    <t>Asset held in unit-linked and index-linked contracts</t>
  </si>
  <si>
    <t>Dividends</t>
  </si>
  <si>
    <t>Interest</t>
  </si>
  <si>
    <t>Rent</t>
  </si>
  <si>
    <t>Net gains and losses</t>
  </si>
  <si>
    <t>Unrealised gains and losses</t>
  </si>
  <si>
    <t>S.09.01.04.01 - Income/gains and losses in the period</t>
  </si>
  <si>
    <t>S.10.01.01.01 - Securities lending and repos</t>
  </si>
  <si>
    <t>Counterparty code and type of code</t>
  </si>
  <si>
    <t>Counterparty asset category</t>
  </si>
  <si>
    <t>Assets held in unit-linked and index-linked contracts</t>
  </si>
  <si>
    <t>Position in the Contract</t>
  </si>
  <si>
    <t>Near leg amount</t>
  </si>
  <si>
    <t>Far leg amount</t>
  </si>
  <si>
    <t>Start date</t>
  </si>
  <si>
    <t>Solvency II Value</t>
  </si>
  <si>
    <t>S.10.01.04.01 - Securities lending and repos</t>
  </si>
  <si>
    <t>S.11.01.01.01 - Information on positions held</t>
  </si>
  <si>
    <t>Information on the assets held</t>
  </si>
  <si>
    <t>Name of counterparty pledging the collateral</t>
  </si>
  <si>
    <t>Name of the group of the counterparty pledging the collateral</t>
  </si>
  <si>
    <t>Information on the asset for which collateral is held</t>
  </si>
  <si>
    <t>Type of asset for which the collateral is held</t>
  </si>
  <si>
    <t>S.11.01.01.02 - Information on assets</t>
  </si>
  <si>
    <t>Issuer Group name</t>
  </si>
  <si>
    <t>Unit price</t>
  </si>
  <si>
    <t>S.11.01.04.01 - Information on positions held</t>
  </si>
  <si>
    <t>S.11.01.04.02 - Information on assets</t>
  </si>
  <si>
    <t>S.12.01.01.01 - Life and Health SLT Technical Provisions</t>
  </si>
  <si>
    <t>Contracts without options and guarantees</t>
  </si>
  <si>
    <t>Contracts with options or guarantees</t>
  </si>
  <si>
    <t>Annuities stemming from non-life insurance contracts and relating to insurance obligation other than health insurance obligations</t>
  </si>
  <si>
    <t>Accepted reinsurance</t>
  </si>
  <si>
    <t>Annuities stemming from non-life accepted insurance contracts and relating to insurance obligation other than health insurance obligations</t>
  </si>
  <si>
    <t>Total (Life other than health insurance, incl. Unit-Linked)</t>
  </si>
  <si>
    <t>Health insurance (direct business)</t>
  </si>
  <si>
    <t>Health reinsurance (reinsurance accepted)</t>
  </si>
  <si>
    <t>Total (Health similar to life insurance)</t>
  </si>
  <si>
    <t>Total Recoverables from reinsurance/SPV and Finite Re after the adjustment for expected losses due to counterparty default associated to TP calculated as a whole</t>
  </si>
  <si>
    <t>Technical provisions calculated as a sum of BE and RM</t>
  </si>
  <si>
    <t>Gross Best Estimate</t>
  </si>
  <si>
    <t>Total recoverables from reinsurance/SPV and Finite Re before the adjustment for expected losses due to counterparty default</t>
  </si>
  <si>
    <t>Recoverables from reinsurance (except SPV and Finite Re) before adjustment for expected losses</t>
  </si>
  <si>
    <t>Recoverables from SPV before adjustment for expected losses</t>
  </si>
  <si>
    <t>Recoverables from Finite Re before adjustment for expected losses</t>
  </si>
  <si>
    <t>Total Recoverables from reinsurance/SPV and Finite Re after the adjustment for expected losses due to counterparty default</t>
  </si>
  <si>
    <t>Best estimate minus recoverables from reinsurance/SPV and Finite Re</t>
  </si>
  <si>
    <t>Risk Margin</t>
  </si>
  <si>
    <t>Amount of the transitional on Technical Provisions</t>
  </si>
  <si>
    <t>Technical Provisions calculated as a whole</t>
  </si>
  <si>
    <t>Best estimate</t>
  </si>
  <si>
    <t>Technical provisions - total</t>
  </si>
  <si>
    <t>Technical provisions minus recoverables from reinsurance/SPV and Finite Re - total</t>
  </si>
  <si>
    <t>Best Estimate of products with a surrender option</t>
  </si>
  <si>
    <t>Gross BE for Cash flow</t>
  </si>
  <si>
    <t>Cash out-flows</t>
  </si>
  <si>
    <t>Future guaranteed and discretionary benefits</t>
  </si>
  <si>
    <t>Future guaranteed benefits</t>
  </si>
  <si>
    <t>Future discretionary benefits</t>
  </si>
  <si>
    <t>Future expenses and other cash out-flows</t>
  </si>
  <si>
    <t>Cash in-flows</t>
  </si>
  <si>
    <t>Future premiums</t>
  </si>
  <si>
    <t>Other cash in-flows</t>
  </si>
  <si>
    <t>Percentage of gross Best Estimate calculated using approximations</t>
  </si>
  <si>
    <t>Surrender value</t>
  </si>
  <si>
    <t>Best estimate subject to transitional of the interest rate</t>
  </si>
  <si>
    <t>Technical provisions without transitional on interest rate</t>
  </si>
  <si>
    <t>Best estimate subject to volatility adjustment</t>
  </si>
  <si>
    <t>Technical provisions without volatility adjustment and without others transitional measures</t>
  </si>
  <si>
    <t>Best estimate subject to matching adjustment</t>
  </si>
  <si>
    <t>Technical provisions without matching adjustment and without all the others</t>
  </si>
  <si>
    <t>S.12.01.02.01 - Life and Health SLT Technical Provisions</t>
  </si>
  <si>
    <t>Best estimate minus recoverables from reinsurance/SPV and Finite Re - total</t>
  </si>
  <si>
    <t>SR.12.01.01.01 - Life and Health SLT Technical Provisions</t>
  </si>
  <si>
    <t>Ring Fenced Fund/Matching adjustment portfolio or remaining part</t>
  </si>
  <si>
    <t>Total (Life other than health insurance, including Unit-Linked)</t>
  </si>
  <si>
    <t>S.12.02.01.01 - Gross TP calculated as a whole and Gross BE for different countries - Home country and countries outside the materiality threshold</t>
  </si>
  <si>
    <t>EEA countries outside the materiality threshold - not reported by country</t>
  </si>
  <si>
    <t>Non-EEA countries outside the materiality threshold - not reported by country</t>
  </si>
  <si>
    <t>S.12.02.01.02 - Gross TP calculated as a whole and Gross BE for different countries - Countries in the materiality threshold</t>
  </si>
  <si>
    <t>Countries in the materiality threshold</t>
  </si>
  <si>
    <t>S.13.01.01.01 - Best Estimate - Life</t>
  </si>
  <si>
    <t>Future Benefits</t>
  </si>
  <si>
    <t>Index linked and unit-linked insurance</t>
  </si>
  <si>
    <t>Annuities stemming from non-life contracts</t>
  </si>
  <si>
    <t>Total recoverable from reinsurance (after the adjustment)</t>
  </si>
  <si>
    <t>Year (projection of undiscounted expected cash-flows)</t>
  </si>
  <si>
    <t>1</t>
  </si>
  <si>
    <t>2</t>
  </si>
  <si>
    <t>3</t>
  </si>
  <si>
    <t>4</t>
  </si>
  <si>
    <t>5</t>
  </si>
  <si>
    <t>6</t>
  </si>
  <si>
    <t>7</t>
  </si>
  <si>
    <t>8</t>
  </si>
  <si>
    <t>9</t>
  </si>
  <si>
    <t>21</t>
  </si>
  <si>
    <t>22</t>
  </si>
  <si>
    <t>23</t>
  </si>
  <si>
    <t>24</t>
  </si>
  <si>
    <t>25</t>
  </si>
  <si>
    <t>26</t>
  </si>
  <si>
    <t>27</t>
  </si>
  <si>
    <t>28</t>
  </si>
  <si>
    <t>29</t>
  </si>
  <si>
    <t>30</t>
  </si>
  <si>
    <t>31-40</t>
  </si>
  <si>
    <t>41-50</t>
  </si>
  <si>
    <t>51 &amp; after</t>
  </si>
  <si>
    <t>S.14.01.01.01 - Portfolio</t>
  </si>
  <si>
    <t>Product ID code</t>
  </si>
  <si>
    <t>Line of Business</t>
  </si>
  <si>
    <t>Number of contracts at the end of the year</t>
  </si>
  <si>
    <t>Number of new contracts during year</t>
  </si>
  <si>
    <t>Total amount of Written premiums</t>
  </si>
  <si>
    <t>Total amount of claims paid during year</t>
  </si>
  <si>
    <t>S.14.01.01.02 - Characteristics of product</t>
  </si>
  <si>
    <t>Product classification</t>
  </si>
  <si>
    <t>Type of product</t>
  </si>
  <si>
    <t>Product denomination</t>
  </si>
  <si>
    <t>Product still commercialised?</t>
  </si>
  <si>
    <t>Type of premium</t>
  </si>
  <si>
    <t>Use of financial instrument for replication?</t>
  </si>
  <si>
    <t>Number of HRGs in products</t>
  </si>
  <si>
    <t>S.14.01.01.03 - Information on Homogeneous risk groups</t>
  </si>
  <si>
    <t>HRG code</t>
  </si>
  <si>
    <t>Best Estimate and Technical Provisions as a whole</t>
  </si>
  <si>
    <t>Capital-at-risk</t>
  </si>
  <si>
    <t>Annualised guaranteed rate (over average duration of guarantee)</t>
  </si>
  <si>
    <t>S.14.01.01.04 - Information on products and homogeneous risk groups</t>
  </si>
  <si>
    <t>Link</t>
  </si>
  <si>
    <t>S.14.01.10.01 - Information on homogenous risk group</t>
  </si>
  <si>
    <t>S.15.01.01.01 - Description of the guarantees of variable annuities</t>
  </si>
  <si>
    <t>Product Denomination</t>
  </si>
  <si>
    <t>Description of the product</t>
  </si>
  <si>
    <t>Initial date of guarantee</t>
  </si>
  <si>
    <t>Final date of guarantee</t>
  </si>
  <si>
    <t>Type of guarantee</t>
  </si>
  <si>
    <t>Guaranteed level</t>
  </si>
  <si>
    <t>Description of the guarantee</t>
  </si>
  <si>
    <t>S.15.01.04.01 - Description of the guarantees of variable annuities</t>
  </si>
  <si>
    <t>S.15.02.01.01 - Hedging of guarantees of variable annuities</t>
  </si>
  <si>
    <t>Type of hedging</t>
  </si>
  <si>
    <t>Delta hedged</t>
  </si>
  <si>
    <t>Rho hedged</t>
  </si>
  <si>
    <t>Gamma hedged</t>
  </si>
  <si>
    <t>Vega hedged</t>
  </si>
  <si>
    <t>FX hedged</t>
  </si>
  <si>
    <t>Other hedged risks</t>
  </si>
  <si>
    <t>Economic result without hedging</t>
  </si>
  <si>
    <t>Economic result with hedging</t>
  </si>
  <si>
    <t>S.15.02.04.01 - Hedging of guarantees of variable annuities</t>
  </si>
  <si>
    <t>S.16.01.01.01 - Information on year N:</t>
  </si>
  <si>
    <t>The related non-life line of business</t>
  </si>
  <si>
    <t>Accident year / Underwriting year</t>
  </si>
  <si>
    <t>Information on year N</t>
  </si>
  <si>
    <t>The average interest rate</t>
  </si>
  <si>
    <t>The average duration of the obligations</t>
  </si>
  <si>
    <t>The weighted average age of the beneficiaries</t>
  </si>
  <si>
    <t>S.16.01.01.02 - Annuities information</t>
  </si>
  <si>
    <t>Currency conversion</t>
  </si>
  <si>
    <t>Z0040</t>
  </si>
  <si>
    <t>Undiscounted annuity claims provisions at the start of year N</t>
  </si>
  <si>
    <t>Undiscounted annuity claims provisions set up during year N</t>
  </si>
  <si>
    <t>Annuity payments paid during year N</t>
  </si>
  <si>
    <t>Undiscounted annuity claims provisions at the end of year N</t>
  </si>
  <si>
    <t>Number of annuities obligations at the end of year N</t>
  </si>
  <si>
    <t>Best Estimate for annuity claims provisions at the end of year N (discounted basis)</t>
  </si>
  <si>
    <t>Undiscounted development result</t>
  </si>
  <si>
    <t>Prior years</t>
  </si>
  <si>
    <t>N-14</t>
  </si>
  <si>
    <t>N-13</t>
  </si>
  <si>
    <t>N-12</t>
  </si>
  <si>
    <t>N-11</t>
  </si>
  <si>
    <t>N-10</t>
  </si>
  <si>
    <t>N-9</t>
  </si>
  <si>
    <t>N-8</t>
  </si>
  <si>
    <t>N-7</t>
  </si>
  <si>
    <t>N-6</t>
  </si>
  <si>
    <t>N-5</t>
  </si>
  <si>
    <t>N-4</t>
  </si>
  <si>
    <t>N-3</t>
  </si>
  <si>
    <t>N-2</t>
  </si>
  <si>
    <t>N-1</t>
  </si>
  <si>
    <t>N</t>
  </si>
  <si>
    <t>S.17.01.01.01 - Non-Life Technical Provisions</t>
  </si>
  <si>
    <t>Direct business and accepted proportional reinsurance</t>
  </si>
  <si>
    <t>accepted non-proportional reinsurance</t>
  </si>
  <si>
    <t>Non-proportional health reinsurance</t>
  </si>
  <si>
    <t>Non-proportional casualty reinsurance</t>
  </si>
  <si>
    <t>Non-proportional marine, aviation and transport reinsurance</t>
  </si>
  <si>
    <t>Non-proportional property reinsurance</t>
  </si>
  <si>
    <t>Total Non-Life obligation</t>
  </si>
  <si>
    <t>Direct business</t>
  </si>
  <si>
    <t>Accepted proportional reinsurance business</t>
  </si>
  <si>
    <t>Accepted non-proportional reinsurance</t>
  </si>
  <si>
    <t>Premium provisions</t>
  </si>
  <si>
    <t>Gross - Total</t>
  </si>
  <si>
    <t>Gross - direct business</t>
  </si>
  <si>
    <t>Gross - accepted proportional reinsurance business</t>
  </si>
  <si>
    <t>Gross - accepted non-proportional reinsurance business</t>
  </si>
  <si>
    <t>Total recoverable from reinsurance/SPV and Finite Re before the adjustment for expected losses due to counterparty default</t>
  </si>
  <si>
    <t>Recoverables from reinsurance (except SPV and Finite Reinsurance) before adjustment for expected losses</t>
  </si>
  <si>
    <t>Recoverables from Finite Reinsurance before adjustment for expected losses</t>
  </si>
  <si>
    <t>Total recoverable from reinsurance/SPV and Finite Re after the adjustment for expected losses due to counterparty default</t>
  </si>
  <si>
    <t>Net Best Estimate of Premium Provisions</t>
  </si>
  <si>
    <t>Claims provisions</t>
  </si>
  <si>
    <t>Net Best Estimate of Claims Provisions</t>
  </si>
  <si>
    <t>Total Best estimate - gross</t>
  </si>
  <si>
    <t>Total Best estimate - net</t>
  </si>
  <si>
    <t>TP as a whole</t>
  </si>
  <si>
    <t>Recoverable from reinsurance contract/SPV and Finite Re after the adjustment for expected losses due to counterparty default - total</t>
  </si>
  <si>
    <t>Technical provisions minus recoverables from reinsurance/SPV and Finite Re- total</t>
  </si>
  <si>
    <t>Line of Business: further segmentation (Homogeneous Risk Groups)</t>
  </si>
  <si>
    <t>Premium provisions - Total number of homogeneous risk groups</t>
  </si>
  <si>
    <t>Claims provisions - Total number of homogeneous risk groups</t>
  </si>
  <si>
    <t>Cash-flows of the Best estimate of Premium Provisions (Gross)</t>
  </si>
  <si>
    <t>Future benefits and claims</t>
  </si>
  <si>
    <t>Future expenses and other cash-out flows</t>
  </si>
  <si>
    <t>Other cash-in flows (incl. Recoverable from salvages and subrogations)</t>
  </si>
  <si>
    <t>Cash-flows of the Best estimate of Claims Provisions (Gross)</t>
  </si>
  <si>
    <t>S.17.01.02.01 - Non-Life Technical Provisions</t>
  </si>
  <si>
    <t>SR.17.01.01.01 - Non-Life Technical Provisions</t>
  </si>
  <si>
    <t>S.17.02.01.01 - Gross TP calculated as a whole and Gross BE for different countries - Home country and countries outside the materiality threshold</t>
  </si>
  <si>
    <t>S.17.02.01.02 - Gross TP calculated as a whole and Gross BE for different countries - Countries in the materiality threshold</t>
  </si>
  <si>
    <t>S.18.01.01.01 - Best Estimate - Non Life</t>
  </si>
  <si>
    <t>Best Estimate Premium Provision (Gross)</t>
  </si>
  <si>
    <t>Future benefits</t>
  </si>
  <si>
    <t>Other cash-in flows</t>
  </si>
  <si>
    <t>Best Estimate Claim Provision (Gross)</t>
  </si>
  <si>
    <t>31 &amp; after</t>
  </si>
  <si>
    <t>S.19.01.01.01 - Gross Claims Paid (non-cumulative) - Development year (absolute amount)</t>
  </si>
  <si>
    <t>15 &amp; +</t>
  </si>
  <si>
    <t>Prior</t>
  </si>
  <si>
    <t>S.19.01.01.02 - Gross Claims Paid (non-cumulative) - Current year, sum of years (cumulative)</t>
  </si>
  <si>
    <t>In Current year</t>
  </si>
  <si>
    <t>Sum of years (cumulative)</t>
  </si>
  <si>
    <t>S.19.01.01.03 - Gross undiscounted Best Estimate Claims Provisions - Development year (absolute amount)</t>
  </si>
  <si>
    <t>S.19.01.01.04 - Gross discounted Best Estimate Claims Provisions - Current year, sum of years (cumulative)</t>
  </si>
  <si>
    <t>Year end (discounted data)</t>
  </si>
  <si>
    <t>S.19.01.01.05 - Gross Reported but not Settled Claims (RBNS) - Development year (absolute amount)</t>
  </si>
  <si>
    <t>C0450</t>
  </si>
  <si>
    <t>C0460</t>
  </si>
  <si>
    <t>C0470</t>
  </si>
  <si>
    <t>C0480</t>
  </si>
  <si>
    <t>C0490</t>
  </si>
  <si>
    <t>C0500</t>
  </si>
  <si>
    <t>C0510</t>
  </si>
  <si>
    <t>C0520</t>
  </si>
  <si>
    <t>C0530</t>
  </si>
  <si>
    <t>C0540</t>
  </si>
  <si>
    <t>C0550</t>
  </si>
  <si>
    <t>S.19.01.01.06 - Gross Reported but not Settled Claims (RBNS) - Current year, sum of years (cumulative)</t>
  </si>
  <si>
    <t>C0560</t>
  </si>
  <si>
    <t>S.19.01.01.07 - Reinsurance Recoveries received (non-cumulative) - Development year (absolute amount)</t>
  </si>
  <si>
    <t>C0600</t>
  </si>
  <si>
    <t>C0610</t>
  </si>
  <si>
    <t>C0620</t>
  </si>
  <si>
    <t>C0630</t>
  </si>
  <si>
    <t>C0640</t>
  </si>
  <si>
    <t>C0650</t>
  </si>
  <si>
    <t>C0660</t>
  </si>
  <si>
    <t>C0670</t>
  </si>
  <si>
    <t>C0680</t>
  </si>
  <si>
    <t>C0690</t>
  </si>
  <si>
    <t>C0700</t>
  </si>
  <si>
    <t>C0710</t>
  </si>
  <si>
    <t>C0720</t>
  </si>
  <si>
    <t>C0730</t>
  </si>
  <si>
    <t>C0740</t>
  </si>
  <si>
    <t>C0750</t>
  </si>
  <si>
    <t>S.19.01.01.08 - Reinsurance Recoveries received (non-cumulative) - Current year, sum of years (cumulative)</t>
  </si>
  <si>
    <t>C0760</t>
  </si>
  <si>
    <t>C0770</t>
  </si>
  <si>
    <t>S.19.01.01.09 - Undiscounted Best Estimate Claims Provisions - Reinsurance recoverable - Development year (absolute amount)</t>
  </si>
  <si>
    <t>C0800</t>
  </si>
  <si>
    <t>C0810</t>
  </si>
  <si>
    <t>C0820</t>
  </si>
  <si>
    <t>C0830</t>
  </si>
  <si>
    <t>C0840</t>
  </si>
  <si>
    <t>C0850</t>
  </si>
  <si>
    <t>C0860</t>
  </si>
  <si>
    <t>C0870</t>
  </si>
  <si>
    <t>C0880</t>
  </si>
  <si>
    <t>C0890</t>
  </si>
  <si>
    <t>C0900</t>
  </si>
  <si>
    <t>C0910</t>
  </si>
  <si>
    <t>C0920</t>
  </si>
  <si>
    <t>C0930</t>
  </si>
  <si>
    <t>C0940</t>
  </si>
  <si>
    <t>C0950</t>
  </si>
  <si>
    <t>S.19.01.01.10 - Discounted Best Estimate Claims Provisions - Reinsurance recoverable - Current year, sum of years (cumulative)</t>
  </si>
  <si>
    <t>C0960</t>
  </si>
  <si>
    <t>S.19.01.01.11 - Reinsurance RBNS Claims - Development year (absolute amount)</t>
  </si>
  <si>
    <t>C1000</t>
  </si>
  <si>
    <t>C1010</t>
  </si>
  <si>
    <t>C1020</t>
  </si>
  <si>
    <t>C1030</t>
  </si>
  <si>
    <t>C1040</t>
  </si>
  <si>
    <t>C1050</t>
  </si>
  <si>
    <t>C1060</t>
  </si>
  <si>
    <t>C1070</t>
  </si>
  <si>
    <t>C1080</t>
  </si>
  <si>
    <t>C1090</t>
  </si>
  <si>
    <t>C1100</t>
  </si>
  <si>
    <t>C1110</t>
  </si>
  <si>
    <t>C1120</t>
  </si>
  <si>
    <t>C1130</t>
  </si>
  <si>
    <t>C1140</t>
  </si>
  <si>
    <t>C1150</t>
  </si>
  <si>
    <t>S.19.01.01.12 - Reinsurance RBNS - Current year, sum of years (cumulative)</t>
  </si>
  <si>
    <t>C1160</t>
  </si>
  <si>
    <t>S.19.01.01.13 - Net Claims Paid (non-cumulative) - Development year (absolute amount)</t>
  </si>
  <si>
    <t>C1200</t>
  </si>
  <si>
    <t>C1210</t>
  </si>
  <si>
    <t>C1220</t>
  </si>
  <si>
    <t>C1230</t>
  </si>
  <si>
    <t>C1240</t>
  </si>
  <si>
    <t>C1250</t>
  </si>
  <si>
    <t>C1260</t>
  </si>
  <si>
    <t>C1270</t>
  </si>
  <si>
    <t>C1280</t>
  </si>
  <si>
    <t>C1290</t>
  </si>
  <si>
    <t>C1300</t>
  </si>
  <si>
    <t>C1310</t>
  </si>
  <si>
    <t>C1320</t>
  </si>
  <si>
    <t>C1330</t>
  </si>
  <si>
    <t>C1340</t>
  </si>
  <si>
    <t>C1350</t>
  </si>
  <si>
    <t>S.19.01.01.14 - Net Claims Paid (non-cumulative) - Current year, sum of years (cumulative)</t>
  </si>
  <si>
    <t>C1360</t>
  </si>
  <si>
    <t>C1370</t>
  </si>
  <si>
    <t>S.19.01.01.15 - Net Undiscounted Best Estimate Claims Provisions - Development year (absolute amount)</t>
  </si>
  <si>
    <t>C1400</t>
  </si>
  <si>
    <t>C1410</t>
  </si>
  <si>
    <t>C1420</t>
  </si>
  <si>
    <t>C1430</t>
  </si>
  <si>
    <t>C1440</t>
  </si>
  <si>
    <t>C1450</t>
  </si>
  <si>
    <t>C1460</t>
  </si>
  <si>
    <t>C1470</t>
  </si>
  <si>
    <t>C1480</t>
  </si>
  <si>
    <t>C1490</t>
  </si>
  <si>
    <t>C1500</t>
  </si>
  <si>
    <t>C1510</t>
  </si>
  <si>
    <t>C1520</t>
  </si>
  <si>
    <t>C1530</t>
  </si>
  <si>
    <t>C1540</t>
  </si>
  <si>
    <t>C1550</t>
  </si>
  <si>
    <t>S.19.01.01.16 - Net discounted Best Estimate Claims Provisions - Current year, sum of years (cumulative)</t>
  </si>
  <si>
    <t>C1560</t>
  </si>
  <si>
    <t>S.19.01.01.17 - Net RBNS Claims - Development year (absolute amount)</t>
  </si>
  <si>
    <t>C1600</t>
  </si>
  <si>
    <t>C1610</t>
  </si>
  <si>
    <t>C1620</t>
  </si>
  <si>
    <t>C1630</t>
  </si>
  <si>
    <t>C1640</t>
  </si>
  <si>
    <t>C1650</t>
  </si>
  <si>
    <t>C1660</t>
  </si>
  <si>
    <t>C1670</t>
  </si>
  <si>
    <t>C1680</t>
  </si>
  <si>
    <t>C1690</t>
  </si>
  <si>
    <t>C1700</t>
  </si>
  <si>
    <t>C1710</t>
  </si>
  <si>
    <t>C1720</t>
  </si>
  <si>
    <t>C1730</t>
  </si>
  <si>
    <t>C1740</t>
  </si>
  <si>
    <t>C1750</t>
  </si>
  <si>
    <t>S.19.01.01.18 - Net RBNS Claims - Current year, sum of years (cumulative)</t>
  </si>
  <si>
    <t>C1760</t>
  </si>
  <si>
    <t>S.19.01.01.19 - Additional information: historic inflation rates (only in the case of using methods that take into account inflation to adjust data)</t>
  </si>
  <si>
    <t>C1800</t>
  </si>
  <si>
    <t>C1810</t>
  </si>
  <si>
    <t>C1820</t>
  </si>
  <si>
    <t>C1830</t>
  </si>
  <si>
    <t>C1840</t>
  </si>
  <si>
    <t>C1850</t>
  </si>
  <si>
    <t>C1860</t>
  </si>
  <si>
    <t>C1870</t>
  </si>
  <si>
    <t>C1880</t>
  </si>
  <si>
    <t>C1890</t>
  </si>
  <si>
    <t>C1900</t>
  </si>
  <si>
    <t>C1910</t>
  </si>
  <si>
    <t>C1920</t>
  </si>
  <si>
    <t>C1930</t>
  </si>
  <si>
    <t>C1940</t>
  </si>
  <si>
    <t>Historic inflation rate - total</t>
  </si>
  <si>
    <t>Historic inflation rate: external inflation</t>
  </si>
  <si>
    <t>Historic inflation rate: endogenous inflation</t>
  </si>
  <si>
    <t>S.19.01.01.20 - Additional information: expected inflation rates</t>
  </si>
  <si>
    <t>N+1</t>
  </si>
  <si>
    <t>C2000</t>
  </si>
  <si>
    <t>N+2</t>
  </si>
  <si>
    <t>C2010</t>
  </si>
  <si>
    <t>N+3</t>
  </si>
  <si>
    <t>C2020</t>
  </si>
  <si>
    <t>N+4</t>
  </si>
  <si>
    <t>C2030</t>
  </si>
  <si>
    <t>N+5</t>
  </si>
  <si>
    <t>C2040</t>
  </si>
  <si>
    <t>N+6</t>
  </si>
  <si>
    <t>C2050</t>
  </si>
  <si>
    <t>N+7</t>
  </si>
  <si>
    <t>C2060</t>
  </si>
  <si>
    <t>N+8</t>
  </si>
  <si>
    <t>C2070</t>
  </si>
  <si>
    <t>N+9</t>
  </si>
  <si>
    <t>C2080</t>
  </si>
  <si>
    <t>N+10</t>
  </si>
  <si>
    <t>C2090</t>
  </si>
  <si>
    <t>N+11</t>
  </si>
  <si>
    <t>C2100</t>
  </si>
  <si>
    <t>N+12</t>
  </si>
  <si>
    <t>C2110</t>
  </si>
  <si>
    <t>N+13</t>
  </si>
  <si>
    <t>C2120</t>
  </si>
  <si>
    <t>N+14</t>
  </si>
  <si>
    <t>C2130</t>
  </si>
  <si>
    <t>N+15</t>
  </si>
  <si>
    <t>C2140</t>
  </si>
  <si>
    <t>Expected inflation rate - total</t>
  </si>
  <si>
    <t>Expected inflation rate: external inflation</t>
  </si>
  <si>
    <t>Expected inflation rate: endogenous inflation</t>
  </si>
  <si>
    <t>S.19.01.01.21 - Description of inflation rate used</t>
  </si>
  <si>
    <t>Description</t>
  </si>
  <si>
    <t>C2200</t>
  </si>
  <si>
    <t>Description of inflation rate used:</t>
  </si>
  <si>
    <t>S.19.01.21.01 - Gross Claims Paid (non-cumulative) - Development year (absolute amount). Total Non-Life Business</t>
  </si>
  <si>
    <t>10 &amp; +</t>
  </si>
  <si>
    <t>S.19.01.21.02 - Gross Claims Paid (non-cumulative) - Current year, sum of years (cumulative). Total Non-Life Business</t>
  </si>
  <si>
    <t>S.19.01.21.03 - Gross undiscounted Best Estimate Claims Provisions - Development year (absolute amount). Total Non-Life Business</t>
  </si>
  <si>
    <t>S.19.01.21.04 - Gross discounted Best Estimate Claims Provisions - Current year, sum of years (cumulative). Total Non-Life Business</t>
  </si>
  <si>
    <t>S.20.01.01.01 - Development of the distribution of the claims incurred</t>
  </si>
  <si>
    <t>Line of business:</t>
  </si>
  <si>
    <t>Accident year/ underwriting year</t>
  </si>
  <si>
    <t>RBNS claims. Open Claims at the beginning of the year</t>
  </si>
  <si>
    <t>Open Claims at the end of the year</t>
  </si>
  <si>
    <t>Number of claims</t>
  </si>
  <si>
    <t>Gross RBNS at the beginning of the year</t>
  </si>
  <si>
    <t>Gross payments made during the current year</t>
  </si>
  <si>
    <t>Gross RBNS at the end of the period</t>
  </si>
  <si>
    <t>Closed Claims at the end of the year:</t>
  </si>
  <si>
    <t>settled with payment</t>
  </si>
  <si>
    <t>Number of claims ended with payments</t>
  </si>
  <si>
    <t>settled without any payment</t>
  </si>
  <si>
    <t>Number of claims ended without any payments</t>
  </si>
  <si>
    <t>Gross RBNS at the beginning of the year referred to claim settled without any payment</t>
  </si>
  <si>
    <t>Claims reported during the year</t>
  </si>
  <si>
    <t>Reopen Claims during the year</t>
  </si>
  <si>
    <t>Total previous years</t>
  </si>
  <si>
    <t>S.21.01.01.01 - Loss distribution risk profile</t>
  </si>
  <si>
    <t>Start claims incurred</t>
  </si>
  <si>
    <t>End claims incurred</t>
  </si>
  <si>
    <t>Number of claims AY/UWY year N</t>
  </si>
  <si>
    <t>Total claims incurred AY/UWY year N</t>
  </si>
  <si>
    <t>Number of claims AY/UWY year N-1</t>
  </si>
  <si>
    <t>Total claims incurred AY/UWY year N-1</t>
  </si>
  <si>
    <t>Number of claims AY/UWY year N-2</t>
  </si>
  <si>
    <t>Total claims incurred AY/UWY year N-2</t>
  </si>
  <si>
    <t>Number of claims AY/UWY year N-3</t>
  </si>
  <si>
    <t>Total claims incurred AY/UWY year N-3</t>
  </si>
  <si>
    <t>Number of claims AY/UWY year N-4</t>
  </si>
  <si>
    <t>Total claims incurred AY/UWY year N-4</t>
  </si>
  <si>
    <t>Number of claims AY/UWY year N-5</t>
  </si>
  <si>
    <t>Total claims incurred AY/UWY year N-5</t>
  </si>
  <si>
    <t>Number of claims AY/UWY year N-6</t>
  </si>
  <si>
    <t>Total claims incurred AY/UWY year N-6</t>
  </si>
  <si>
    <t>Number of claims AY/UWY year N-7</t>
  </si>
  <si>
    <t>Total claims incurred AY/UWY year N-7</t>
  </si>
  <si>
    <t>Number of claims AY/UWY year N-8</t>
  </si>
  <si>
    <t>Total claims incurred AY/UWY year N-8</t>
  </si>
  <si>
    <t>Number of claims AY/UWY year N-9</t>
  </si>
  <si>
    <t>Total claims incurred AY/UWY year N-9</t>
  </si>
  <si>
    <t>Number of claims AY/UWY year N-10</t>
  </si>
  <si>
    <t>Total claims incurred AY/UWY year N-10</t>
  </si>
  <si>
    <t>Number of claims AY/UWY year N-11</t>
  </si>
  <si>
    <t>Total claims incurred AY/UWY year N-11</t>
  </si>
  <si>
    <t>Number of claims AY/UWY year N-12</t>
  </si>
  <si>
    <t>Total claims incurred AY/UWY year N-12</t>
  </si>
  <si>
    <t>Number of claims AY/UWY year N-13</t>
  </si>
  <si>
    <t>Total claims incurred AY/UWY year N-13</t>
  </si>
  <si>
    <t>Number of claims AY/UWY year N-14</t>
  </si>
  <si>
    <t>Total claims incurred AY/UWY year N-14</t>
  </si>
  <si>
    <t>Bracket 1</t>
  </si>
  <si>
    <t>Bracket 2</t>
  </si>
  <si>
    <t>Bracket 3</t>
  </si>
  <si>
    <t>Bracket 4</t>
  </si>
  <si>
    <t>Bracket 5</t>
  </si>
  <si>
    <t>Bracket 6</t>
  </si>
  <si>
    <t>Bracket 7</t>
  </si>
  <si>
    <t>Bracket 8</t>
  </si>
  <si>
    <t>Bracket 9</t>
  </si>
  <si>
    <t>Bracket 10</t>
  </si>
  <si>
    <t>Bracket 11</t>
  </si>
  <si>
    <t>Bracket 12</t>
  </si>
  <si>
    <t>Bracket 13</t>
  </si>
  <si>
    <t>Bracket 14</t>
  </si>
  <si>
    <t>Bracket 15</t>
  </si>
  <si>
    <t>Bracket 16</t>
  </si>
  <si>
    <t>Bracket 17</t>
  </si>
  <si>
    <t>Bracket 18</t>
  </si>
  <si>
    <t>Bracket 19</t>
  </si>
  <si>
    <t>Bracket 20</t>
  </si>
  <si>
    <t>Bracket 21</t>
  </si>
  <si>
    <t>S.21.02.01.01 - Underwriting risks non-life</t>
  </si>
  <si>
    <t>Risk identification code</t>
  </si>
  <si>
    <t>Identification of the company / person to which the risk relates</t>
  </si>
  <si>
    <t>Description risk</t>
  </si>
  <si>
    <t>Description risk category covered</t>
  </si>
  <si>
    <t>Validity period (start date)</t>
  </si>
  <si>
    <t>Validity period (expiry date)</t>
  </si>
  <si>
    <t>Sum insured</t>
  </si>
  <si>
    <t>Original deductible policyholder</t>
  </si>
  <si>
    <t>Type of underwriting model</t>
  </si>
  <si>
    <t>Amount underwriting model</t>
  </si>
  <si>
    <t>Sum reinsured on a facultative basis, with all reinsurers</t>
  </si>
  <si>
    <t>Sum reinsured, other than on facultative basis, with all reinsurers</t>
  </si>
  <si>
    <t>Net retention of the insurer</t>
  </si>
  <si>
    <t>S.21.03.01.01 - Non-life underwriting mass risks</t>
  </si>
  <si>
    <t>Start sum insured</t>
  </si>
  <si>
    <t>End sum insured</t>
  </si>
  <si>
    <t>Number of underwriting risks</t>
  </si>
  <si>
    <t>Total sum insured</t>
  </si>
  <si>
    <t>Total annual written premium</t>
  </si>
  <si>
    <t>S.22.01.01.01 - Impact of long term guarantees measures and transitionals</t>
  </si>
  <si>
    <t>Amount with Long Term Guarantee measures and transitionals</t>
  </si>
  <si>
    <t>Impact of the LTG measures and transitionals (Step-by-step approach)</t>
  </si>
  <si>
    <t>Without transitional on technical provisions</t>
  </si>
  <si>
    <t>Impact of transitional on technical provisions</t>
  </si>
  <si>
    <t>Without transitional on interest rate</t>
  </si>
  <si>
    <t>Impact of transitional on interest rate</t>
  </si>
  <si>
    <t>Without volatility adjustment and without other transitional measures</t>
  </si>
  <si>
    <t>Impact of volatility adjustment set to zero</t>
  </si>
  <si>
    <t>Without matching adjustment and without all the others</t>
  </si>
  <si>
    <t>Impact of matching adjustment set to zero</t>
  </si>
  <si>
    <t>Impact of all LTG measures and transitionals</t>
  </si>
  <si>
    <t>Technical provisions</t>
  </si>
  <si>
    <t>Basic own funds</t>
  </si>
  <si>
    <t>Restricted own funds due to ring-fencing and matching portfolio</t>
  </si>
  <si>
    <t>Eligible own funds to meet Solvency Capital Requirement</t>
  </si>
  <si>
    <t>Eligible own funds to meet Minimum Capital Requirement</t>
  </si>
  <si>
    <t>Minimum Capital Requirement</t>
  </si>
  <si>
    <t>S.22.01.04.01 - Impact of long term guarantees measures and transitionals</t>
  </si>
  <si>
    <t>S.22.01.21.01 - Impact of long term guarantees measures and transitionals</t>
  </si>
  <si>
    <t>S.22.01.22.01 - Impact of long term guarantees measures and transitionals</t>
  </si>
  <si>
    <t>SR.22.02.01.01 - Projection of future cash flows (Best Estimate - Matching portfolios)</t>
  </si>
  <si>
    <t>Matching portfolio</t>
  </si>
  <si>
    <t>Projection of future cash-flows at the end of the reporting period</t>
  </si>
  <si>
    <t>Longevity, mortality and revision obligations cash outflows</t>
  </si>
  <si>
    <t>Expenses cash outflows</t>
  </si>
  <si>
    <t>De-risked Assets cash-flows</t>
  </si>
  <si>
    <t>Mismatch during reporting period</t>
  </si>
  <si>
    <t>Positive undiscounted mismatch (inflows &gt; outflows)</t>
  </si>
  <si>
    <t>Negative undiscounted mismatch (inflows &lt; outflows )</t>
  </si>
  <si>
    <t>31</t>
  </si>
  <si>
    <t>32</t>
  </si>
  <si>
    <t>33</t>
  </si>
  <si>
    <t>34</t>
  </si>
  <si>
    <t>35</t>
  </si>
  <si>
    <t>36</t>
  </si>
  <si>
    <t>37</t>
  </si>
  <si>
    <t>38</t>
  </si>
  <si>
    <t>39</t>
  </si>
  <si>
    <t>40</t>
  </si>
  <si>
    <t>41-45</t>
  </si>
  <si>
    <t>46-50</t>
  </si>
  <si>
    <t>51-60</t>
  </si>
  <si>
    <t>61-70</t>
  </si>
  <si>
    <t>71 &amp; after</t>
  </si>
  <si>
    <t>SR.22.03.01.01 - Information on the matching adjustment calculation</t>
  </si>
  <si>
    <t>Information on:</t>
  </si>
  <si>
    <t>Overall calculation of the matching adjustment</t>
  </si>
  <si>
    <t>Annual effective rate applied to the CF of the obligations</t>
  </si>
  <si>
    <t>Annual effective rate of the best estimate</t>
  </si>
  <si>
    <t>Probability of default used to de-risk assets cash flows</t>
  </si>
  <si>
    <t>Portion of the fundamental spread not reflected when de-risking assets cash flows</t>
  </si>
  <si>
    <t>Increase of fundamental spread for sub investment grade assets</t>
  </si>
  <si>
    <t>Matching adjustment to the risk free rate</t>
  </si>
  <si>
    <t>Mortality risk stress for the purpose of matching adjustment</t>
  </si>
  <si>
    <t>Market value of assets of the portfolio</t>
  </si>
  <si>
    <t>Market value of assets linked to inflation</t>
  </si>
  <si>
    <t>Best estimate linked to inflation</t>
  </si>
  <si>
    <t>Market value assets where third party can change the cash flows</t>
  </si>
  <si>
    <t>Return on assets - portfolio assets</t>
  </si>
  <si>
    <t>Market value of surrended contracts</t>
  </si>
  <si>
    <t>Number of surrender options exercised</t>
  </si>
  <si>
    <t>Market value of assets applied</t>
  </si>
  <si>
    <t>Surrender rights satisfied to policyholders</t>
  </si>
  <si>
    <t>S.22.04.01.01 - Overall calculation of the transitional adjustment</t>
  </si>
  <si>
    <t>Reporting currency</t>
  </si>
  <si>
    <t>Adjustment to risk free rate</t>
  </si>
  <si>
    <t>Solvency I Interest rate</t>
  </si>
  <si>
    <t>Annual effective rate</t>
  </si>
  <si>
    <t>Portion of the difference applied at the reporting date</t>
  </si>
  <si>
    <t>S.22.04.01.02 - Solvency I Interest rate</t>
  </si>
  <si>
    <t>Average duration of insurance and reinsurance obligations</t>
  </si>
  <si>
    <t>Up to 0.5 per cent</t>
  </si>
  <si>
    <t>Above 0.5% and up to 1.0%</t>
  </si>
  <si>
    <t>Above 1.0% and up to 1.5%</t>
  </si>
  <si>
    <t>Above 1.5% and up to 2.0%</t>
  </si>
  <si>
    <t>Above 2.0% and up to 2.5%</t>
  </si>
  <si>
    <t>Above 2.5% and up to 3.0%</t>
  </si>
  <si>
    <t>Above 3.0% and up to 4.0%</t>
  </si>
  <si>
    <t>Above 4.0% and up to 5.0%</t>
  </si>
  <si>
    <t>Above 5.0% and up to 6.0%</t>
  </si>
  <si>
    <t>Above 6.0% and up to 7.0%</t>
  </si>
  <si>
    <t>Above 7.0% and up to 8.0%</t>
  </si>
  <si>
    <t>Above 8.0%</t>
  </si>
  <si>
    <t>S.22.05.01.01 - Overall calculation of the transitional on technical provisions</t>
  </si>
  <si>
    <t>Day 1 Solvency II technical provisions</t>
  </si>
  <si>
    <t>Technical provisions subject to transitional measure on technical provisions</t>
  </si>
  <si>
    <t>TP calculated as a whole</t>
  </si>
  <si>
    <t>Risk magin</t>
  </si>
  <si>
    <t>Solvency I technical provisions</t>
  </si>
  <si>
    <t>Portion of the difference adjusted</t>
  </si>
  <si>
    <t>Limitation applied in accordance to Article 308d(4)</t>
  </si>
  <si>
    <t>Technical provision after transitional on technical provisions</t>
  </si>
  <si>
    <t>S.22.06.01.01 - Best estimate subject to country and currency volatility adjustment - Total and home country by currency (including home country in reporting currency)</t>
  </si>
  <si>
    <t>Total value of Best Estimate subject to volatility adjustment (for all currencies)</t>
  </si>
  <si>
    <t>Part of the Best Estimate subject to volatility adjustment written in the reporting currency</t>
  </si>
  <si>
    <t>Total value of Best Estimate subject to volatility adjustment in all countries</t>
  </si>
  <si>
    <t>Total value of Best Estimate subject to volatility adjustment in the Home country</t>
  </si>
  <si>
    <t>S.22.06.01.02 - Best estimate subject to country and currency volatility adjustment - Total and home country by currency by currency (other than reporting currency)</t>
  </si>
  <si>
    <t>Part of the Best Estimate subject to volatility adjustment written in currencies</t>
  </si>
  <si>
    <t>Other than reporting currency</t>
  </si>
  <si>
    <t>S.22.06.01.03 - Best estimate subject to country and currency volatility adjustment - Total and home country by currency (other than home country)</t>
  </si>
  <si>
    <t>Other than home country</t>
  </si>
  <si>
    <t>Total value of Best Estimate subject to volatility adjustment in countries other than home country</t>
  </si>
  <si>
    <t>S.22.06.01.04 - Best estimate subject to country and currency volatility adjustment - Total and home country by currency by country (other than home country) and by currency (other than reporting currency)</t>
  </si>
  <si>
    <t>S.23.01.01.01 - Own funds</t>
  </si>
  <si>
    <t>Basic own funds before deduction for participations in other financial sector as foreseen in article 68 of Delegated Regulation 2015/35</t>
  </si>
  <si>
    <t>Ordinary share capital (gross of own shares)</t>
  </si>
  <si>
    <t>Share premium account related to ordinary share capital</t>
  </si>
  <si>
    <t>Initial funds, members' contributions or the equivalent basic own - fund item for mutual and mutual-type undertakings</t>
  </si>
  <si>
    <t>Subordinated mutual member accounts</t>
  </si>
  <si>
    <t>Surplus funds</t>
  </si>
  <si>
    <t>Preference shares</t>
  </si>
  <si>
    <t>Share premium account related to preference shares</t>
  </si>
  <si>
    <t>Reconciliation reserve</t>
  </si>
  <si>
    <t>An amount equal to the value of net deferred tax assets</t>
  </si>
  <si>
    <t>Other own fund items approved by the supervisory authority as basic own funds not specified above</t>
  </si>
  <si>
    <t>Own funds from the financial statements that should not be represented by the reconciliation reserve and do not meet the criteria to be classified as Solvency II own funds</t>
  </si>
  <si>
    <t>Deductions</t>
  </si>
  <si>
    <t>Deductions for participations in financial and credit institutions</t>
  </si>
  <si>
    <t>Total basic own funds after deductions</t>
  </si>
  <si>
    <t>Unpaid and uncalled ordinary share capital callable on demand</t>
  </si>
  <si>
    <t>Unpaid and uncalled initial funds, members' contributions or the equivalent basic own fund item for mutual and mutual - type undertakings, callable on demand</t>
  </si>
  <si>
    <t>Unpaid and uncalled preference shares callable on demand</t>
  </si>
  <si>
    <t>A legally binding commitment to subscribe and pay for subordinated liabilities on demand</t>
  </si>
  <si>
    <t>Letters of credit and guarantees under Article 96(2) of the Directive 2009/138/EC</t>
  </si>
  <si>
    <t>Letters of credit and guarantees other than under Article 96(2) of the Directive 2009/138/EC</t>
  </si>
  <si>
    <t>Supplementary members calls under first subparagraph of Article 96(3) of the Directive 2009/138/EC</t>
  </si>
  <si>
    <t>Supplementary members calls - other than under first subparagraph of Article 96(3) of the Directive 2009/138/EC</t>
  </si>
  <si>
    <t>Other ancillary own funds</t>
  </si>
  <si>
    <t>Total ancillary own funds</t>
  </si>
  <si>
    <t>Available and eligible own funds</t>
  </si>
  <si>
    <t>Total available own funds to meet the SCR</t>
  </si>
  <si>
    <t>Total available own funds to meet the MCR</t>
  </si>
  <si>
    <t>Total eligible own funds to meet the SCR</t>
  </si>
  <si>
    <t>Total eligible own funds to meet the MCR</t>
  </si>
  <si>
    <t>MCR</t>
  </si>
  <si>
    <t>Ratio of Eligible own funds to SCR</t>
  </si>
  <si>
    <t>Ratio of Eligible own funds to MCR</t>
  </si>
  <si>
    <t>S.23.01.01.02 - Reconciliation reserve</t>
  </si>
  <si>
    <t>Own shares (held directly and indirectly)</t>
  </si>
  <si>
    <t>Foreseeable dividends, distributions and charges</t>
  </si>
  <si>
    <t>Other basic own fund items</t>
  </si>
  <si>
    <t>Adjustment for restricted own fund items in respect of matching adjustment portfolios and ring fenced funds</t>
  </si>
  <si>
    <t>Expected profits</t>
  </si>
  <si>
    <t>Expected profits included in future premiums (EPIFP) - Life business</t>
  </si>
  <si>
    <t>Expected profits included in future premiums (EPIFP) - Non-life business</t>
  </si>
  <si>
    <t>Total Expected profits included in future premiums (EPIFP)</t>
  </si>
  <si>
    <t>S.23.01.04.01 - Own funds</t>
  </si>
  <si>
    <t>Basic own funds before deduction for participations in other financial sector</t>
  </si>
  <si>
    <t>Non-available called but not paid in ordinary share capital at group level</t>
  </si>
  <si>
    <t>Non-available subordinated mutual member accounts at group level</t>
  </si>
  <si>
    <t>Non-available surplus funds at group level</t>
  </si>
  <si>
    <t>Non-available preference shares at group level</t>
  </si>
  <si>
    <t>Non-available share premium account related to preference shares at group level</t>
  </si>
  <si>
    <t>Non-available subordinated liabilities at group level</t>
  </si>
  <si>
    <t>The amount equal to the value of net deferred tax assets not available at the group level</t>
  </si>
  <si>
    <t>Other items approved by supervisory authority as basic own funds not specified above</t>
  </si>
  <si>
    <t>Non available own funds related to other own funds items approved by supervisory authority</t>
  </si>
  <si>
    <t>Minority interests (if not reported as part of a specific own fund item)</t>
  </si>
  <si>
    <t>Non-available minority interests at group level</t>
  </si>
  <si>
    <t>Deductions for participations in other financial undertakings, including non-regulated undertakings carrying out financial activities</t>
  </si>
  <si>
    <t>whereof deducted according to art 228 of the Directive 2009/138/EC</t>
  </si>
  <si>
    <t>Deductions for participations where there is non-availability of information (Article 229)</t>
  </si>
  <si>
    <t>Deduction for participations included by using D&amp;A when a combination of methods is used</t>
  </si>
  <si>
    <t>Total of non-available own fund items</t>
  </si>
  <si>
    <t>Total deductions</t>
  </si>
  <si>
    <t>Non available ancillary own funds at group level</t>
  </si>
  <si>
    <t>Own funds of other financial sectors</t>
  </si>
  <si>
    <t>Credit institutions, investment firms, financial institutions, alternative investment fund managers, UCITS management companies - total</t>
  </si>
  <si>
    <t>Non regulated entities carrying out financial activities</t>
  </si>
  <si>
    <t>Total own funds of other financial sectors</t>
  </si>
  <si>
    <t>Own funds when using the D&amp;A, exclusively or in combination of method 1</t>
  </si>
  <si>
    <t>Own funds aggregated when using the D&amp;A and combination of method</t>
  </si>
  <si>
    <t>Own funds aggregated when using the D&amp;A and combination of method net of IGT</t>
  </si>
  <si>
    <t>Total available own funds to meet the consolidated group SCR (excluding own funds from other financial sector and from the undertakings included via D&amp;A )</t>
  </si>
  <si>
    <t>Total available own funds to meet the minimum consolidated group SCR</t>
  </si>
  <si>
    <t>Total eligible own funds to meet the consolidated group SCR (excluding own funds from other financial sector and from the undertakings included via D&amp;A )</t>
  </si>
  <si>
    <t>Total eligible own funds to meet the minimum consolidated group SCR</t>
  </si>
  <si>
    <t>Consolidated Group SCR</t>
  </si>
  <si>
    <t>Minimum consolidated Group SCR</t>
  </si>
  <si>
    <t>Ratio of Eligible own funds to the consolidated Group SCR (excluding other financial sectors and the undertakings included via D&amp;A )</t>
  </si>
  <si>
    <t>Ratio of Eligible own funds to Minimum Consolidated Group SCR</t>
  </si>
  <si>
    <t>Total eligible own funds to meet the group SCR (including own funds from other financial sector and from the undertakings included via D&amp;A )</t>
  </si>
  <si>
    <t>SCR for entities included with D&amp;A method</t>
  </si>
  <si>
    <t>Group SCR</t>
  </si>
  <si>
    <t>Ratio of Eligible own funds to group SCR including other financial sectors and the undertakings included via D&amp;A</t>
  </si>
  <si>
    <t>S.23.01.04.02 - Reconciliation reserve</t>
  </si>
  <si>
    <t>Other non available own funds</t>
  </si>
  <si>
    <t>S.23.01.07.01 - Own funds</t>
  </si>
  <si>
    <t>S.23.01.07.02 - Reconciliation reserve</t>
  </si>
  <si>
    <t>S.23.01.13.01 - Own funds</t>
  </si>
  <si>
    <t>S.23.01.22.01 - Own funds</t>
  </si>
  <si>
    <t>Total eligible own funds to meet the group SCR (including own funds from other financial sector and from the undertakings included via D&amp;A)</t>
  </si>
  <si>
    <t>S.23.01.22.02 - Reconciliation reserve</t>
  </si>
  <si>
    <t>S.23.02.01.01 - Basic own funds</t>
  </si>
  <si>
    <t>Of which counted under transitionals</t>
  </si>
  <si>
    <t>Ordinary share capital</t>
  </si>
  <si>
    <t>Paid in</t>
  </si>
  <si>
    <t>Called up but not yet paid in</t>
  </si>
  <si>
    <t>Own shares held</t>
  </si>
  <si>
    <t>Total ordinary share capital</t>
  </si>
  <si>
    <t>Initial funds, members' contributions or the equivalent basic own - fund item for mutual and mutual type undertakings</t>
  </si>
  <si>
    <t>Total initial fund members' contributions or the equivalent basic own fund item for mutual and mutual type undertakings</t>
  </si>
  <si>
    <t>Subordinated mutual members accounts</t>
  </si>
  <si>
    <t>Dated subordinated</t>
  </si>
  <si>
    <t>Undated subordinated with a call option</t>
  </si>
  <si>
    <t>Undated subordinated with no contractual opportunity to redeem</t>
  </si>
  <si>
    <t>Total subordinated mutual members accounts</t>
  </si>
  <si>
    <t>Dated preference shares</t>
  </si>
  <si>
    <t>Undated preference shares with a call option</t>
  </si>
  <si>
    <t>Undated preference shares with no contractual opportunity to redeem</t>
  </si>
  <si>
    <t>Total preference shares</t>
  </si>
  <si>
    <t>Dated subordinated liabilities</t>
  </si>
  <si>
    <t>Undated subordinated liabilities with a contractual opportunity to redeem</t>
  </si>
  <si>
    <t>Undated subordinated liabilities with no contractual opportunity to redeem</t>
  </si>
  <si>
    <t>Total subordinated liabilities</t>
  </si>
  <si>
    <t>S.23.02.01.02 - Ancillary own funds</t>
  </si>
  <si>
    <t>Initial amounts approved</t>
  </si>
  <si>
    <t>Current amounts</t>
  </si>
  <si>
    <t>Items for which an amount was approved</t>
  </si>
  <si>
    <t>Items for which a method was approved</t>
  </si>
  <si>
    <t>S.23.02.01.03 - Excess of assets over liabilities - attribution of valuation differences</t>
  </si>
  <si>
    <t>Excess of assets over liabilities - attribution of valuation differences</t>
  </si>
  <si>
    <t>Difference in the valuation of assets</t>
  </si>
  <si>
    <t>Difference in the valuation of technical provisions</t>
  </si>
  <si>
    <t>Difference in the valuation of other liabilities</t>
  </si>
  <si>
    <t>Total of reserves and retained earnings from financial statements</t>
  </si>
  <si>
    <t>Other, please explain why you need to use this line</t>
  </si>
  <si>
    <t>Reserves from financial statements adjusted for Solvency II valuation differences</t>
  </si>
  <si>
    <t>Excess of assets over liabilities attributable to basic own fund items (excluding the reconciliation reserve)</t>
  </si>
  <si>
    <t>S.23.02.01.04 - Excess of assets over liabilities - attribution of valuation differences - other</t>
  </si>
  <si>
    <t>Explanation</t>
  </si>
  <si>
    <t>S.23.02.04.01 - Basic own funds</t>
  </si>
  <si>
    <t>S.23.02.04.02 - Ancillary own funds</t>
  </si>
  <si>
    <t>S.23.02.04.03 - Excess of assets over liabilities - attribution of valuation differences</t>
  </si>
  <si>
    <t>S.23.02.04.04 - Excess of assets over liabilities - attribution of valuation differences - other</t>
  </si>
  <si>
    <t>S.23.03.01.01 - Ordinary share capital and related share premium, initial fund members' contributions or the equivalent basic own - movements in the reporting period</t>
  </si>
  <si>
    <t>Balance b/fwd</t>
  </si>
  <si>
    <t>Increase</t>
  </si>
  <si>
    <t>Reduction</t>
  </si>
  <si>
    <t>Balance c/fwd</t>
  </si>
  <si>
    <t>Ordinary share capital - movements in the reporting period</t>
  </si>
  <si>
    <t>Share premium account related to ordinary share capital - movements in the reporting period</t>
  </si>
  <si>
    <t>Initial funds, members' contributions or the equivalent basic own - fund item for mutual and mutual type undertakings - movements in the reporting period</t>
  </si>
  <si>
    <t>Total initial funds, members' contributions or the equivalent basic own - fund item for mutual and mutual type undertakings</t>
  </si>
  <si>
    <t>S.23.03.01.02 - Subordinated mutual members accounts - movements in the reporting period</t>
  </si>
  <si>
    <t>Issued</t>
  </si>
  <si>
    <t>Redeemed</t>
  </si>
  <si>
    <t>Movements in valuation</t>
  </si>
  <si>
    <t>Regulatory action</t>
  </si>
  <si>
    <t>Subordinated mutual members accounts - movements in the reporting period</t>
  </si>
  <si>
    <t>S.23.03.01.03 - Surplus funds</t>
  </si>
  <si>
    <t>S.23.03.01.04 - Preference shares and related share premium - movements in the reporting period</t>
  </si>
  <si>
    <t>Preference shares - movements in the reporting period</t>
  </si>
  <si>
    <t>Share premium relating to preference shares</t>
  </si>
  <si>
    <t>S.23.03.01.05 - Subordinated liabilities - movements in the reporting period</t>
  </si>
  <si>
    <t>Subordinated liabilities - movements in the reporting period</t>
  </si>
  <si>
    <t>S.23.03.01.06 - An amount equal to the value of net deferred tax assets</t>
  </si>
  <si>
    <t>S.23.03.01.07 - Other items approved by supervisory authority as basic own funds not specified above - movements in the reporting period</t>
  </si>
  <si>
    <t>Other items approved by supervisory authority as basic own funds not specified above - movements in the reporting period</t>
  </si>
  <si>
    <t>Tier 1 to be treated as unrestricted</t>
  </si>
  <si>
    <t>Tier 1 to be treated as restricted</t>
  </si>
  <si>
    <t>Total of other items approved by supervisory authority as basic own funds items not specified above</t>
  </si>
  <si>
    <t>S.23.03.01.08 - Ancillary own funds - movements in the reporting period</t>
  </si>
  <si>
    <t>New amount made available</t>
  </si>
  <si>
    <t>Reduction to amount available</t>
  </si>
  <si>
    <t>Called up to basic own fund</t>
  </si>
  <si>
    <t>Ancillary own funds - movements in the reporting period</t>
  </si>
  <si>
    <t>R1110</t>
  </si>
  <si>
    <t>R1120</t>
  </si>
  <si>
    <t>S.23.03.04.01 - Ordinary share capital and related share premium, initial fund members' contributions or the equivalent basic own - movements in the reporting period</t>
  </si>
  <si>
    <t>S.23.03.04.02 - Subordinated mutual members accounts - movements in the reporting period</t>
  </si>
  <si>
    <t>S.23.03.04.03 - Surplus funds</t>
  </si>
  <si>
    <t>S.23.03.04.04 - Preference shares and related share premium - movements in the reporting period</t>
  </si>
  <si>
    <t>S.23.03.04.05 - Subordinated liabilities - movements in the reporting period</t>
  </si>
  <si>
    <t>S.23.03.04.06 - An amount equal to the value of net deferred tax assets</t>
  </si>
  <si>
    <t>S.23.03.04.07 - Other items approved by supervisory authority as basic own funds not specified above - movements in the reporting period</t>
  </si>
  <si>
    <t>S.23.03.04.08 - Ancillary own funds - movements in the reporting period</t>
  </si>
  <si>
    <t>S.23.03.07.01 - An amount equal to the value of net deferred tax assets</t>
  </si>
  <si>
    <t>S.23.03.07.02 - Ancillary own funds - movements in the reporting period</t>
  </si>
  <si>
    <t>S.23.04.01.01 - Subordinated MMA</t>
  </si>
  <si>
    <t>C0005</t>
  </si>
  <si>
    <t>Description of subordinated mutual members' accounts</t>
  </si>
  <si>
    <t>Amount</t>
  </si>
  <si>
    <t>Tier</t>
  </si>
  <si>
    <t>Currency Code</t>
  </si>
  <si>
    <t>Counted under transitionals?</t>
  </si>
  <si>
    <t>Counterparty (if specific)</t>
  </si>
  <si>
    <t>First call date</t>
  </si>
  <si>
    <t>Details of further call dates</t>
  </si>
  <si>
    <t>Details of incentives to redeem</t>
  </si>
  <si>
    <t>Notice period</t>
  </si>
  <si>
    <t>Buy back during the year</t>
  </si>
  <si>
    <t>S.23.04.01.02 - Preference share</t>
  </si>
  <si>
    <t>C0185</t>
  </si>
  <si>
    <t>Description of preference shares</t>
  </si>
  <si>
    <t>S.23.04.01.03 - Subordinated liability</t>
  </si>
  <si>
    <t>C0265</t>
  </si>
  <si>
    <t>Description of subordinated liabilities</t>
  </si>
  <si>
    <t>Lender (if specific)</t>
  </si>
  <si>
    <t>Further call dates</t>
  </si>
  <si>
    <t>S.23.04.01.04 - Items approved by supervisory authority as basic own funds</t>
  </si>
  <si>
    <t>C0445</t>
  </si>
  <si>
    <t>Date of authorisation</t>
  </si>
  <si>
    <t>S.23.04.01.05 - Own funds from the financial statements that shall not be represented by the reconciliation reserve and do not meet the criteria to be classified as Solvency II own funds</t>
  </si>
  <si>
    <t>C0565</t>
  </si>
  <si>
    <t>Description of item</t>
  </si>
  <si>
    <t>C0570</t>
  </si>
  <si>
    <t>C0580</t>
  </si>
  <si>
    <t>S.23.04.01.06 - Ancillary own funds</t>
  </si>
  <si>
    <t>C0585</t>
  </si>
  <si>
    <t>Description of ancillary own funds</t>
  </si>
  <si>
    <t>C0590</t>
  </si>
  <si>
    <t>Counterpart</t>
  </si>
  <si>
    <t>S.23.04.01.07 - Adjustment for ring fenced funds and matching adjustment portfolios</t>
  </si>
  <si>
    <t>Number of ring-fenced fund/Matching adjustment portfolios</t>
  </si>
  <si>
    <t>Notional SCR</t>
  </si>
  <si>
    <t>Notional SCR (negative results set to zero)</t>
  </si>
  <si>
    <t>Excess of assets over liablities</t>
  </si>
  <si>
    <t>Future transfers attributable to shareholders</t>
  </si>
  <si>
    <t>S.23.04.01.09 - RFF/matching adjustment portfolios deduction</t>
  </si>
  <si>
    <t>C0970</t>
  </si>
  <si>
    <t>S.23.04.04.01 - Subordinated MMA</t>
  </si>
  <si>
    <t>Issuing entity</t>
  </si>
  <si>
    <t>Name of supervisory authority having given authorisation</t>
  </si>
  <si>
    <t>% of the issue held by entities in the group</t>
  </si>
  <si>
    <t>Contribution to group subordinated MMA</t>
  </si>
  <si>
    <t>S.23.04.04.02 - Preference share</t>
  </si>
  <si>
    <t>S.23.04.04.03 - Subordinated liability</t>
  </si>
  <si>
    <t>Contribution to group subordinated liabilities</t>
  </si>
  <si>
    <t>S.23.04.04.04 - Items approved by supervisory authority as basic own funds</t>
  </si>
  <si>
    <t>Name of entity concerned</t>
  </si>
  <si>
    <t>Contribution to group other basic own funds</t>
  </si>
  <si>
    <t>S.23.04.04.05 - Own funds from the financial statements that should not be represented by the reconciliation reserve and do not meet the criteria to be classified as Solvency II own funds</t>
  </si>
  <si>
    <t>S.23.04.04.06 - Ancillary own funds</t>
  </si>
  <si>
    <t>S.23.04.04.07 - Adjustment for ring fenced funds and matching adjustment portfolios</t>
  </si>
  <si>
    <t>S.23.04.04.09 - RFF/matching adjustment portfolios deduction</t>
  </si>
  <si>
    <t>S.23.04.04.10 - Calculation of non available own funds at group level (such a calculation has to be done entity by entity) - exceeding the contribution of solo SCR to Group SCR</t>
  </si>
  <si>
    <t>C0715</t>
  </si>
  <si>
    <t>Related (Re)insurance undertakings, Insurance Holding Company, Mixed financial Holding Company, ancillary entities and SPV included in the scope of the group calculation</t>
  </si>
  <si>
    <t>Contribution of solo SCR to Group SCR</t>
  </si>
  <si>
    <t>Non available minority interests</t>
  </si>
  <si>
    <t>Non available surplus funds</t>
  </si>
  <si>
    <t>Non available called but not paid in capital</t>
  </si>
  <si>
    <t>C0780</t>
  </si>
  <si>
    <t>Non available ancillary own funds</t>
  </si>
  <si>
    <t>C0790</t>
  </si>
  <si>
    <t>Non available subordinated mutual member accounts</t>
  </si>
  <si>
    <t>Non available preference shares</t>
  </si>
  <si>
    <t>Non available Subordinated Liabilities</t>
  </si>
  <si>
    <t>Non available share premium account related to preference shares at group level</t>
  </si>
  <si>
    <t>Total non available excess own funds</t>
  </si>
  <si>
    <t>S.23.04.04.11 - Calculation of non available own funds at group level (total) - exceeding the contribution of solo SCR to Group SCR</t>
  </si>
  <si>
    <t>Non available own funds</t>
  </si>
  <si>
    <t>Non - available share premium account related to preference shares at group level</t>
  </si>
  <si>
    <t>S.24.01.01.01 - Table 1 - Participations in related undertakings that are financial and credit institutions which individually exceed 10% of items included in (a) (i), (ii), (iv) and (vi) of Article 69, not including consolidated strategic participations for the purpose of deductions under Article 68 (1) of the Delegated Regulation (EU) 2015/35</t>
  </si>
  <si>
    <t>Name of related undertaking</t>
  </si>
  <si>
    <t>Common Equity Tier 1</t>
  </si>
  <si>
    <t>Additional Tier 1</t>
  </si>
  <si>
    <t>S.24.01.01.02 - Table 2 - Participations in related undertakings that are financial and credit institutions which when aggregated exceed 10% of items included in (a) (i), (ii), (iv) and (vi) of Article 69, not including consolidated strategic participations for the purpose of deductions under Article 68 (2) of the Delegated Regulation (EU) 2015/35</t>
  </si>
  <si>
    <t>S.24.01.01.03 - Total participations in related undertakings that are financial and credit institutions (for which there is an OF deduction)</t>
  </si>
  <si>
    <t>Total participations in related undertakings that are financial and credit institutions (for which there is an OF deduction)</t>
  </si>
  <si>
    <t>R0001</t>
  </si>
  <si>
    <t>S.24.01.01.04 - Own funds deductions</t>
  </si>
  <si>
    <t>Article 68 (1) deduction</t>
  </si>
  <si>
    <t>Article 68 (2) deduction</t>
  </si>
  <si>
    <t>S.24.01.01.05 - Table 3 - Participations in related undertakings that are financial and credit institutions which are considered strategic as defined in Article 171 of the Delegated Regulation (EU) 2015/35 and which are included in the calculation of the group solvency on the basis of method 1 (no OF deduction according to art 68(3)).</t>
  </si>
  <si>
    <t>Type 1 Equity</t>
  </si>
  <si>
    <t>Type 2 Equity</t>
  </si>
  <si>
    <t>S.24.01.01.06 - Table 4 - Participations in related undertakings that are financial and credit institutions which are strategic (as defined in Article 171 of the Delegated Regulation (EU) 2015/35), not included in the calculation of the group solvency on the basis of method 1 and which are not deducted according to art 68(1) and 68 (2) (It should include the remaining part following the partial deduction according to Article 68 (2) of the Delegated Regulation (EU) 2015/35)</t>
  </si>
  <si>
    <t>S.24.01.01.07 - Table 5 - Participations in related undertakings that are financial and credit institutions which are not strategic and which are not deducted according to art 68(1) and 68(2) of Delegated Regulation 2015/35 (It should include the remaining part following the partial deduction according to Article 68 (2) of the Delegated Regulation (EU) 2015/35)</t>
  </si>
  <si>
    <t>S.24.01.01.08 - Table 6 - Other strategic participations not in financial and credit institution</t>
  </si>
  <si>
    <t>S.24.01.01.09 - Table 7 - Other non-strategic participations not in financial and credit institution</t>
  </si>
  <si>
    <t>S.24.01.01.10 - Total for SCR calculation</t>
  </si>
  <si>
    <t>Total participations in related undertakings that are financial and credit institutions</t>
  </si>
  <si>
    <t>of which strategic (method 1 or less than 10% not method 1)</t>
  </si>
  <si>
    <t>of which non-strategic (less than 10%)</t>
  </si>
  <si>
    <t>Total participations in related undertakings that are not financial and credit institutions</t>
  </si>
  <si>
    <t>of which strategic</t>
  </si>
  <si>
    <t>of which non-strategic</t>
  </si>
  <si>
    <t>S.24.01.01.11 - Total all participations</t>
  </si>
  <si>
    <t>Total all participations</t>
  </si>
  <si>
    <t>S.25.01.01.01 - Basic Solvency Capital Requirement</t>
  </si>
  <si>
    <t>Article 112</t>
  </si>
  <si>
    <t>Net solvency capital requirement</t>
  </si>
  <si>
    <t>Gross solvency capital requirement</t>
  </si>
  <si>
    <t>Allocation from adjustments due to RFF and Matching adjustments portfolios</t>
  </si>
  <si>
    <t>Market risk</t>
  </si>
  <si>
    <t>Counterparty default risk</t>
  </si>
  <si>
    <t>Life underwriting risk</t>
  </si>
  <si>
    <t>Health underwriting risk</t>
  </si>
  <si>
    <t>Non-life underwriting risk</t>
  </si>
  <si>
    <t>Diversification</t>
  </si>
  <si>
    <t>Intangible asset risk</t>
  </si>
  <si>
    <t>Basic Solvency Capital Requirement</t>
  </si>
  <si>
    <t>S.25.01.01.02 - Calculation of Solvency Capital Requirement</t>
  </si>
  <si>
    <t>Value</t>
  </si>
  <si>
    <t>Adjustment due to RFF/MAP nSCR aggregation</t>
  </si>
  <si>
    <t>Operational risk</t>
  </si>
  <si>
    <t>Loss-absorbing capacity of technical provisions</t>
  </si>
  <si>
    <t>Loss-absorbing capacity of deferred taxes</t>
  </si>
  <si>
    <t>Capital requirement for business operated in accordance with Art. 4 of Directive 2003/41/EC</t>
  </si>
  <si>
    <t>Solvency Capital Requirement excluding capital add-on</t>
  </si>
  <si>
    <t>Capital add-on already set</t>
  </si>
  <si>
    <t>Solvency capital requirement</t>
  </si>
  <si>
    <t>Other information on SCR</t>
  </si>
  <si>
    <t>Capital requirement for duration-based equity risk sub-module</t>
  </si>
  <si>
    <t>Total amount of Notional Solvency Capital Requirements for remaining part</t>
  </si>
  <si>
    <t>Total amount of Notional Solvency Capital Requirements for ring fenced funds</t>
  </si>
  <si>
    <t>Total amount of Notional Solvency Capital Requirements for matching adjustment portfolios</t>
  </si>
  <si>
    <t>Diversification effects due to RFF nSCR aggregation for article 304</t>
  </si>
  <si>
    <t>Method used to calculate the adjustment due to RFF/MAP nSCR aggregation</t>
  </si>
  <si>
    <t>Net future discretionary benefits</t>
  </si>
  <si>
    <t>S.25.01.01.03 - Approach to tax rate</t>
  </si>
  <si>
    <t>Yes/No</t>
  </si>
  <si>
    <t>C0109</t>
  </si>
  <si>
    <t>S.25.01.01.04 - Calculation of loss absorbing capacity of deferred taxes</t>
  </si>
  <si>
    <t>Before the shock</t>
  </si>
  <si>
    <t>After the shock</t>
  </si>
  <si>
    <t>DTA</t>
  </si>
  <si>
    <t>DTA carry forward</t>
  </si>
  <si>
    <t>DTA due to deductible temporary differences</t>
  </si>
  <si>
    <t>DTL</t>
  </si>
  <si>
    <t>S.25.01.01.05 - Calculation of loss absorbing capacity of deferred taxes</t>
  </si>
  <si>
    <t>LAC DT</t>
  </si>
  <si>
    <t>LAC DT justified by reversion of deferred tax liabilities</t>
  </si>
  <si>
    <t>LAC DT justified by reference to probable future taxable economic profit</t>
  </si>
  <si>
    <t>LAC DT justified by carry back, current year</t>
  </si>
  <si>
    <t>LAC DT justified by carry back, future years</t>
  </si>
  <si>
    <t>Maximum LAC DT</t>
  </si>
  <si>
    <t>S.25.01.04.01 - Basic Solvency Capital Requirement</t>
  </si>
  <si>
    <t>S.25.01.04.02 - Calculation of Solvency Capital Requirement</t>
  </si>
  <si>
    <t>Capital add-ons already set</t>
  </si>
  <si>
    <t>Solvency capital requirement for undertakings under consolidated method</t>
  </si>
  <si>
    <t>Minimum consolidated group solvency capital requirement</t>
  </si>
  <si>
    <t>Information on other entities</t>
  </si>
  <si>
    <t>Capital requirement for other financial sectors (Non-insurance capital requirements)</t>
  </si>
  <si>
    <t>Capital requirement for other financial sectors (Non-insurance capital requirements) - Credit institutions, investment firms and financial institutions, alternative investment funds managers, UCITS management companies</t>
  </si>
  <si>
    <t>Capital requirement for other financial sectors (Non-insurance capital requirements) - Institutions for occupational retirement provisions</t>
  </si>
  <si>
    <t>Capital requirement for other financial sectors (Non-insurance capital requirements) - Capital requirement for non- regulated entities carrying out financial activities</t>
  </si>
  <si>
    <t>Capital requirement for non-controlled participation requirements</t>
  </si>
  <si>
    <t>Capital requirement for residual undertakings</t>
  </si>
  <si>
    <t>Overall SCR</t>
  </si>
  <si>
    <t>SCR for undertakings included via D and A</t>
  </si>
  <si>
    <t>S.25.01.21.01 - Basic Solvency Capital Requirement</t>
  </si>
  <si>
    <t>Simplifications</t>
  </si>
  <si>
    <t>S.25.01.21.02 - Calculation of Solvency Capital Requirement</t>
  </si>
  <si>
    <t>S.25.01.21.03 - Basic Solvency Capital Requirement (USP)</t>
  </si>
  <si>
    <t>USP</t>
  </si>
  <si>
    <t>S.25.01.21.04 - Approach to tax rate</t>
  </si>
  <si>
    <t>S.25.01.21.05 - Calculation of loss absorbing capacity of deferred taxes</t>
  </si>
  <si>
    <t>S.25.01.22.01 - Basic Solvency Capital Requirement</t>
  </si>
  <si>
    <t>S.25.01.22.02 - Calculation of Solvency Capital Requirement</t>
  </si>
  <si>
    <t>S.25.01.22.03 - Basic Solvency Capital Requirement (USP)</t>
  </si>
  <si>
    <t>SR.25.01.01.01 - Basic Solvency Capital Requirement</t>
  </si>
  <si>
    <t>SR.25.01.01.02 - Calculation of Solvency Capital Requirement</t>
  </si>
  <si>
    <t>SR.25.01.01.03 - Approach to tax rate</t>
  </si>
  <si>
    <t>SR.25.01.01.04 - Calculation of loss absorbing capacity of deferred taxes</t>
  </si>
  <si>
    <t>SR.25.01.01.05 - Calculation of loss absorbing capacity of deferred taxes</t>
  </si>
  <si>
    <t>SR.25.01.04.01 - Basic Solvency Capital Requirement</t>
  </si>
  <si>
    <t>SR.25.01.04.02 - Calculation of Solvency Capital Requirement</t>
  </si>
  <si>
    <t>S.25.02.01.01 - Component-specific information</t>
  </si>
  <si>
    <t>Unique number of component</t>
  </si>
  <si>
    <t>Components Description</t>
  </si>
  <si>
    <t>Calculation of the Solvency Capital Requirement</t>
  </si>
  <si>
    <t>Consideration of the future management actions regarding technical provisions and/or deferred taxes</t>
  </si>
  <si>
    <t>Amount modelled</t>
  </si>
  <si>
    <t>S.25.02.01.02 - Calculation of Solvency Capital Requirement</t>
  </si>
  <si>
    <t>Total undiversified components</t>
  </si>
  <si>
    <t>Solvency capital requirement excluding capital add-on</t>
  </si>
  <si>
    <t>Amount/estimate of the overall loss-absorbing capacity of technical provisions</t>
  </si>
  <si>
    <t>Amount/estimate of the overall loss-absorbing capacity of deferred taxes</t>
  </si>
  <si>
    <t>Total amount of Notional Solvency Capital Requirement for ring fenced funds</t>
  </si>
  <si>
    <t>Total amount of Notional Solvency Capital Requirement for matching adjustment portfolios</t>
  </si>
  <si>
    <t>S.25.02.01.03 - Approach to tax rate</t>
  </si>
  <si>
    <t>S.25.02.01.04 - Calculation of loss absorbing capacity of deferred taxes</t>
  </si>
  <si>
    <t>S.25.02.01.05 - Calculation of loss absorbing capacity of deferred taxes</t>
  </si>
  <si>
    <t>Amount/estimate of LAC DT</t>
  </si>
  <si>
    <t>Amount/estimate of LAC DT justified by reversion of deferred tax liabilities</t>
  </si>
  <si>
    <t>Amount/estimate of LAC DT justified by reference to probable future taxable economic profit</t>
  </si>
  <si>
    <t>Amount/estimate of AC DT justified by carry back, current year</t>
  </si>
  <si>
    <t>Amount/estimate of LAC DT justified by carry back, future years</t>
  </si>
  <si>
    <t>Amount/estimate of Maximum LAC DT</t>
  </si>
  <si>
    <t>S.25.02.04.01 - Component-specific information</t>
  </si>
  <si>
    <t>S.25.02.04.02 - Calculation of Solvency Capital Requirement</t>
  </si>
  <si>
    <t>S.25.02.21.01 - Component-specific information</t>
  </si>
  <si>
    <t>S.25.02.21.02 - Calculation of Solvency Capital Requirement</t>
  </si>
  <si>
    <t>S.25.02.21.03 - Approach to tax rate</t>
  </si>
  <si>
    <t>S.25.02.21.05 - Calculation of loss absorbing capacity of deferred taxes</t>
  </si>
  <si>
    <t>S.25.02.22.01 - Component-specific information</t>
  </si>
  <si>
    <t>S.25.02.22.02 - Calculation of Solvency Capital Requirement</t>
  </si>
  <si>
    <t>SR.25.02.01.01 - Component-specific information</t>
  </si>
  <si>
    <t>SR.25.02.01.02 - Calculation of Solvency Capital Requirement</t>
  </si>
  <si>
    <t>SR.25.02.01.03 - Approach to tax rate</t>
  </si>
  <si>
    <t>SR.25.02.01.04 - Calculation of loss absorbing capacity of deferred taxes</t>
  </si>
  <si>
    <t>SR.25.02.01.05 - Calculation of loss absorbing capacity of deferred taxes</t>
  </si>
  <si>
    <t>Amount/estimate of LAC DT justified by carry back, current year</t>
  </si>
  <si>
    <t>SR.25.02.04.01 - Component-specific information</t>
  </si>
  <si>
    <t>SR.25.02.04.02 - Calculation of Solvency Capital Requirement</t>
  </si>
  <si>
    <t>S.25.03.01.01 - Component-specific information</t>
  </si>
  <si>
    <t>S.25.03.01.02 - Calculation of Solvency Capital Requirement</t>
  </si>
  <si>
    <t>Capital requirement for business operated in accordance with Art. 4 of Directive 2003/41/EC (transitional)</t>
  </si>
  <si>
    <t>S.25.03.01.03 - Approach to tax rate</t>
  </si>
  <si>
    <t>S.25.03.01.04 - Calculation of loss absorbing capacity of deferred taxes</t>
  </si>
  <si>
    <t>S.25.03.01.05 - Calculation of loss absorbing capacity of deferred taxes</t>
  </si>
  <si>
    <t>S.25.03.04.01 - Component-specific information</t>
  </si>
  <si>
    <t>S.25.03.04.02 - Calculation of Solvency Capital Requirement</t>
  </si>
  <si>
    <t>S.25.03.21.01 - Component-specific information</t>
  </si>
  <si>
    <t>S.25.03.21.02 - Calculation of Solvency Capital Requirement</t>
  </si>
  <si>
    <t>S.25.03.21.03 - Approach to tax rate</t>
  </si>
  <si>
    <t>S.25.03.21.05 - Calculation of loss absorbing capacity of deferred taxes</t>
  </si>
  <si>
    <t>S.25.03.22.01 - Component-specific information</t>
  </si>
  <si>
    <t>S.25.03.22.02 - Calculation of Solvency Capital Requirement</t>
  </si>
  <si>
    <t>SR.25.03.01.01 - Component-specific information</t>
  </si>
  <si>
    <t>SR.25.03.01.02 - Calculation of Solvency Capital Requirement</t>
  </si>
  <si>
    <t>SR.25.03.01.03 - Approach to tax rate</t>
  </si>
  <si>
    <t>SR.25.03.01.04 - Calculation of loss absorbing capacity of deferred taxes</t>
  </si>
  <si>
    <t>SR.25.03.01.05 - Calculation of loss absorbing capacity of deferred taxes</t>
  </si>
  <si>
    <t>SR.25.03.04.01 - Component-specific information</t>
  </si>
  <si>
    <t>SR.25.03.04.02 - Calculation of Solvency Capital Requirement</t>
  </si>
  <si>
    <t>S.25.04.11.01 - Net solvency capital requirement</t>
  </si>
  <si>
    <t>S.25.04.13.01 - Net solvency capital requirement</t>
  </si>
  <si>
    <t>Solvency Capital Requirement Floor</t>
  </si>
  <si>
    <t>S.26.01.01.01 - Market risk - basic information, part 1</t>
  </si>
  <si>
    <t>Initial absolute values before shock</t>
  </si>
  <si>
    <t>Absolute values after shock</t>
  </si>
  <si>
    <t>Liabilities (after the loss absorbing capacity of technical provisions)</t>
  </si>
  <si>
    <t>Liabilities (before the loss-absorbing capacity of technical provisions)</t>
  </si>
  <si>
    <t>Interest rate risk</t>
  </si>
  <si>
    <t>interest rate down shock</t>
  </si>
  <si>
    <t>interest rate up shock</t>
  </si>
  <si>
    <t>Equity risk</t>
  </si>
  <si>
    <t>type 1 equities</t>
  </si>
  <si>
    <t>Type 1 equity other than long-term</t>
  </si>
  <si>
    <t>R0221</t>
  </si>
  <si>
    <t>strategic participations (type 1 equities)</t>
  </si>
  <si>
    <t>Long-term equity investments (type 1 equities)</t>
  </si>
  <si>
    <t>R0231</t>
  </si>
  <si>
    <t>duration-based (type 1 equities)</t>
  </si>
  <si>
    <t>type 2 equities</t>
  </si>
  <si>
    <t>Type 2 equity other than long-term</t>
  </si>
  <si>
    <t>R0261</t>
  </si>
  <si>
    <t>strategic participations (type 2 equities)</t>
  </si>
  <si>
    <t>Long-term equity investments (type 2 equities)</t>
  </si>
  <si>
    <t>R0271</t>
  </si>
  <si>
    <t>duration-based (type 2 equities)</t>
  </si>
  <si>
    <t>qualifying infrastructure corporate equities</t>
  </si>
  <si>
    <t>R0291</t>
  </si>
  <si>
    <t>qualifying infrastructure corporate equities, other than strategic and long-term</t>
  </si>
  <si>
    <t>R0293</t>
  </si>
  <si>
    <t>strategic participations (qualifying infrastructure corporate equities)</t>
  </si>
  <si>
    <t>R0294</t>
  </si>
  <si>
    <t>Long-term equity investments (qualifying infrastructure corporate equities)</t>
  </si>
  <si>
    <t>R0295</t>
  </si>
  <si>
    <t>qualifying infrastructure equities other than corporate</t>
  </si>
  <si>
    <t>R0292</t>
  </si>
  <si>
    <t>qualifying infrastructure equities other than corporate, other than strategic and long-term</t>
  </si>
  <si>
    <t>R0296</t>
  </si>
  <si>
    <t>strategic participations (qualifying infrastructure equities other than corporate)</t>
  </si>
  <si>
    <t>R0297</t>
  </si>
  <si>
    <t>Long-term equity investments (qualifying infrastructure equities other than corporate)</t>
  </si>
  <si>
    <t>R0298</t>
  </si>
  <si>
    <t>Property risk</t>
  </si>
  <si>
    <t>Spread risk</t>
  </si>
  <si>
    <t>bonds and loans</t>
  </si>
  <si>
    <t>loans and bonds (qualifying infrastructure corporate investment)</t>
  </si>
  <si>
    <t>R0414</t>
  </si>
  <si>
    <t>loans and bonds (qualifying investment infrastructure other than infrastructure corporate)</t>
  </si>
  <si>
    <t>R0413</t>
  </si>
  <si>
    <t>loans and bonds (other than qualifying investment infrastructure and infrastructure corporate)</t>
  </si>
  <si>
    <t>R0412</t>
  </si>
  <si>
    <t>credit derivatives</t>
  </si>
  <si>
    <t>downward shock on credit derivatives</t>
  </si>
  <si>
    <t>upward shock on credit derivatives</t>
  </si>
  <si>
    <t>Securitisation positions</t>
  </si>
  <si>
    <t>Senior STS securitisation</t>
  </si>
  <si>
    <t>R0461</t>
  </si>
  <si>
    <t>Non-senior STS securitisation</t>
  </si>
  <si>
    <t>R0462</t>
  </si>
  <si>
    <t>resecuritisations</t>
  </si>
  <si>
    <t>Other securitisation</t>
  </si>
  <si>
    <t>R0481</t>
  </si>
  <si>
    <t>Transitional type 1 securitisation</t>
  </si>
  <si>
    <t>R0482</t>
  </si>
  <si>
    <t>Guaranteed STS securitisation</t>
  </si>
  <si>
    <t>R0483</t>
  </si>
  <si>
    <t>Market risk concentrations</t>
  </si>
  <si>
    <t>Currency risk</t>
  </si>
  <si>
    <t>increase in the value of the foreign currency</t>
  </si>
  <si>
    <t>decrease in the value of the foreign currency</t>
  </si>
  <si>
    <t>Diversification within market risk module</t>
  </si>
  <si>
    <t>Total market risk</t>
  </si>
  <si>
    <t>S.26.01.01.02 - Market risk - basic information, part 2</t>
  </si>
  <si>
    <t>S.26.01.01.03 - Simplifications used</t>
  </si>
  <si>
    <t>Simplifications spread risk - bonds and loans</t>
  </si>
  <si>
    <t>R0012</t>
  </si>
  <si>
    <t>Simplifications market concentration risk - simplifications used</t>
  </si>
  <si>
    <t>R0014</t>
  </si>
  <si>
    <t>Captives simplifications - interest rate risk</t>
  </si>
  <si>
    <t>Captives simplifications - spread risk on bonds and loans</t>
  </si>
  <si>
    <t>Captives simplifications - market concentration risk</t>
  </si>
  <si>
    <t>S.26.01.04.01 - Market risk - basic information, part 1</t>
  </si>
  <si>
    <t>S.26.01.04.02 - Market risk - basic information, part 2</t>
  </si>
  <si>
    <t>S.26.01.04.03 - Simplifications used</t>
  </si>
  <si>
    <t>S.26.01.04.04 - Currency used as a reference to calculate the currency risk</t>
  </si>
  <si>
    <t>Currency used as a reference to calculate the currency risk</t>
  </si>
  <si>
    <t>SR.26.01.01.01 - Market risk - basic information, part 1</t>
  </si>
  <si>
    <t>SR.26.01.01.02 - Market risk - basic information, part 2</t>
  </si>
  <si>
    <t>SR.26.01.01.03 - Simplifications used</t>
  </si>
  <si>
    <t>S.26.02.01.01 - Counterparty default risk - basic information</t>
  </si>
  <si>
    <t>Name of single name exposure</t>
  </si>
  <si>
    <t>Code and type of code of single name exposure</t>
  </si>
  <si>
    <t>Loss Given Default</t>
  </si>
  <si>
    <t>Probability of Default</t>
  </si>
  <si>
    <t>Type 1 exposures</t>
  </si>
  <si>
    <t>Single name exposure 1</t>
  </si>
  <si>
    <t>Single name exposure 2</t>
  </si>
  <si>
    <t>Single name exposure 3</t>
  </si>
  <si>
    <t>Single name exposure 4</t>
  </si>
  <si>
    <t>Single name exposure 5</t>
  </si>
  <si>
    <t>Single name exposure 6</t>
  </si>
  <si>
    <t>Single name exposure 7</t>
  </si>
  <si>
    <t>Single name exposure 8</t>
  </si>
  <si>
    <t>Single name exposure 9</t>
  </si>
  <si>
    <t>Single name exposure 10</t>
  </si>
  <si>
    <t>Type 2 exposures</t>
  </si>
  <si>
    <t>Receivables from Intermediaries due for more than 3 months</t>
  </si>
  <si>
    <t>All type 2 exposures other than receivables from Intermediaries due for more than 3 months</t>
  </si>
  <si>
    <t>Diversification within counterparty default risk module</t>
  </si>
  <si>
    <t>Total counterparty default risk</t>
  </si>
  <si>
    <t>S.26.02.01.02 - Simplifications used</t>
  </si>
  <si>
    <t>S.26.02.01.03 - Further details on mortgages</t>
  </si>
  <si>
    <t>Losses stemming from type 2 mortgage loans</t>
  </si>
  <si>
    <t>Overall losses stemming from mortgage loans</t>
  </si>
  <si>
    <t>S.26.02.04.01 - Counterparty default risk - basic information</t>
  </si>
  <si>
    <t>S.26.02.04.02 - Simplifications used</t>
  </si>
  <si>
    <t>S.26.02.04.03 - Further details on mortgages</t>
  </si>
  <si>
    <t>SR.26.02.01.01 - Counterparty default risk - basic information</t>
  </si>
  <si>
    <t>SR.26.02.01.02 - Simplifications used</t>
  </si>
  <si>
    <t>S.26.03.01.01 - Life underwriting risk</t>
  </si>
  <si>
    <t>Mortality risk</t>
  </si>
  <si>
    <t>Longevity risk</t>
  </si>
  <si>
    <t>Disability-morbidity risk</t>
  </si>
  <si>
    <t>Lapse risk</t>
  </si>
  <si>
    <t>risk of increase in lapse rates</t>
  </si>
  <si>
    <t>risk of decrease in lapse rates</t>
  </si>
  <si>
    <t>mass lapse risk</t>
  </si>
  <si>
    <t>Life expense risk</t>
  </si>
  <si>
    <t>Revision risk</t>
  </si>
  <si>
    <t>Life catastrophe risk</t>
  </si>
  <si>
    <t>Diversification within life underwriting risk module</t>
  </si>
  <si>
    <t>Total life underwriting risk</t>
  </si>
  <si>
    <t>S.26.03.01.02 - Further details on revision risk</t>
  </si>
  <si>
    <t>Factor applied for the revision shock</t>
  </si>
  <si>
    <t>S.26.03.01.03 - Simplifications used</t>
  </si>
  <si>
    <t>Simplifications - mortality risk</t>
  </si>
  <si>
    <t>Simplifications - longevity risk</t>
  </si>
  <si>
    <t>Simplifications - disability-morbidity risk</t>
  </si>
  <si>
    <t>Simplifications - lapse risk</t>
  </si>
  <si>
    <t>Simplifications - life expense risk</t>
  </si>
  <si>
    <t>Simplifications - life catastrophe risk</t>
  </si>
  <si>
    <t>S.26.03.01.04 - Life underwriting risk</t>
  </si>
  <si>
    <t>S.26.03.04.01 - Life underwriting risk</t>
  </si>
  <si>
    <t>S.26.03.04.02 - Further details on revision risk</t>
  </si>
  <si>
    <t>S.26.03.04.03 - Simplifications used</t>
  </si>
  <si>
    <t>S.26.03.04.04 - Life underwriting risk</t>
  </si>
  <si>
    <t>SR.26.03.01.01 - Life underwriting risk</t>
  </si>
  <si>
    <t>SR.26.03.01.02 - Further details on revision risk</t>
  </si>
  <si>
    <t>SR.26.03.01.03 - Simplifications used</t>
  </si>
  <si>
    <t>SR.26.03.01.04 - Life underwriting risk</t>
  </si>
  <si>
    <t>S.26.04.01.01 - SLT health underwriting risk</t>
  </si>
  <si>
    <t>Health mortality risk</t>
  </si>
  <si>
    <t>Health longevity risk</t>
  </si>
  <si>
    <t>Health disability-morbidity risk</t>
  </si>
  <si>
    <t>Medical expense</t>
  </si>
  <si>
    <t>increase of medical payments</t>
  </si>
  <si>
    <t>decrease of medical payments</t>
  </si>
  <si>
    <t>Income protection</t>
  </si>
  <si>
    <t>SLT health lapse risk</t>
  </si>
  <si>
    <t>Health expense risk</t>
  </si>
  <si>
    <t>Health revision risk</t>
  </si>
  <si>
    <t>Diversification within SLT health underwriting risk</t>
  </si>
  <si>
    <t>Total SLT health underwriting risk</t>
  </si>
  <si>
    <t>S.26.04.01.02 - Further details on revision risk</t>
  </si>
  <si>
    <t>S.26.04.01.03 - NSLT Health premium and reserve risk</t>
  </si>
  <si>
    <t>Standard deviation for premium risk</t>
  </si>
  <si>
    <t>USP Standard Deviation</t>
  </si>
  <si>
    <t>USP Standard Deviation gross/net</t>
  </si>
  <si>
    <t>USP Adjustment factor for non-proportional reinsurance</t>
  </si>
  <si>
    <t>Standard deviation for reserve risk</t>
  </si>
  <si>
    <t>Volume measure for premium and reserve risk</t>
  </si>
  <si>
    <t>Vprem</t>
  </si>
  <si>
    <t>Vres</t>
  </si>
  <si>
    <t>Geographical Diversification</t>
  </si>
  <si>
    <t>V</t>
  </si>
  <si>
    <t>Medical expenses insurance and proportional reinsurance</t>
  </si>
  <si>
    <t>Income protection insurance and proportional reinsurance</t>
  </si>
  <si>
    <t>Worker's compensation insurance and proportional reinsurance</t>
  </si>
  <si>
    <t>Total Volume measure</t>
  </si>
  <si>
    <t>Combined standard deviation</t>
  </si>
  <si>
    <t>R1050</t>
  </si>
  <si>
    <t>S.26.04.01.04 - Total NSLT health premium and reserve risk</t>
  </si>
  <si>
    <t>Total NSLT health premium and reserve risk</t>
  </si>
  <si>
    <t>S.26.04.01.05 - NSLT health lapse risk</t>
  </si>
  <si>
    <t>NSLT health lapse risk</t>
  </si>
  <si>
    <t>S.26.04.01.06 - Total NSLT health underwriting risk</t>
  </si>
  <si>
    <t>Diversification within NSLT health underwriting risk</t>
  </si>
  <si>
    <t>Total NSLT health underwriting risk</t>
  </si>
  <si>
    <t>R1400</t>
  </si>
  <si>
    <t>S.26.04.01.07 - Health catastrophe risk - basic information</t>
  </si>
  <si>
    <t>Mass accident risk</t>
  </si>
  <si>
    <t>Accident concentration risk</t>
  </si>
  <si>
    <t>Pandemic risk</t>
  </si>
  <si>
    <t>Diversification within health catastrophe risk</t>
  </si>
  <si>
    <t>R1530</t>
  </si>
  <si>
    <t>Total health catastrophe risk</t>
  </si>
  <si>
    <t>R1540</t>
  </si>
  <si>
    <t>S.26.04.01.08 - Total health underwriting risk</t>
  </si>
  <si>
    <t>Diversification within health underwriting risk module</t>
  </si>
  <si>
    <t>Total health underwriting risk</t>
  </si>
  <si>
    <t>S.26.04.01.09 - Simplifications used</t>
  </si>
  <si>
    <t>Simplifications - health mortality risk</t>
  </si>
  <si>
    <t>Simplifications - health longevity risk</t>
  </si>
  <si>
    <t>Simplifications - health disability-morbidity risk-medical expenses</t>
  </si>
  <si>
    <t>Simplifications - health disability-morbidity risk-income protection</t>
  </si>
  <si>
    <t>Simplifications - SLT lapse risk</t>
  </si>
  <si>
    <t>Simplifications - NSLT lapse risk</t>
  </si>
  <si>
    <t>R0051</t>
  </si>
  <si>
    <t>Simplifications - health expense risk</t>
  </si>
  <si>
    <t>S.26.04.04.01 - SLT health underwriting risk</t>
  </si>
  <si>
    <t>S.26.04.04.02 - Further details on revision risk</t>
  </si>
  <si>
    <t>S.26.04.04.03 - NSLT Health premium and reserve risk</t>
  </si>
  <si>
    <t>S.26.04.04.04 - Total NSLT health premium and reserve risk</t>
  </si>
  <si>
    <t>S.26.04.04.05 - NSLT health lapse risk</t>
  </si>
  <si>
    <t>S.26.04.04.06 - Total NSLT health underwriting risk</t>
  </si>
  <si>
    <t>S.26.04.04.07 - Health catastrophe risk - basic information</t>
  </si>
  <si>
    <t>S.26.04.04.08 - Total health underwriting risk</t>
  </si>
  <si>
    <t>S.26.04.04.09 - Simplifications used</t>
  </si>
  <si>
    <t>SR.26.04.01.01 - SLT health underwriting risk</t>
  </si>
  <si>
    <t>SR.26.04.01.02 - Further details on revision risk</t>
  </si>
  <si>
    <t>SR.26.04.01.03 - NSLT Health premium and reserve risk</t>
  </si>
  <si>
    <t>SR.26.04.01.04 - Total NSLT health premium and reserve risk</t>
  </si>
  <si>
    <t>NSLT health premium and reserve risk</t>
  </si>
  <si>
    <t>SR.26.04.01.05 - NSLT health lapse risk</t>
  </si>
  <si>
    <t>SR.26.04.01.06 - Total NSLT health underwriting risk</t>
  </si>
  <si>
    <t>SR.26.04.01.07 - Health catastrophe risk - basic information</t>
  </si>
  <si>
    <t>SR.26.04.01.08 - Total health underwriting risk</t>
  </si>
  <si>
    <t>SR.26.04.01.09 - Simplifications used</t>
  </si>
  <si>
    <t>S.26.05.01.01 - Non-life premium and reserve Risk</t>
  </si>
  <si>
    <t>Motor vehicle liability</t>
  </si>
  <si>
    <t>Motor, other classes</t>
  </si>
  <si>
    <t>Marine, aviation, transport (MAT)</t>
  </si>
  <si>
    <t>Fire and other property damage</t>
  </si>
  <si>
    <t>Third-party liability</t>
  </si>
  <si>
    <t>Credit and suretyship</t>
  </si>
  <si>
    <t>Legal expenses</t>
  </si>
  <si>
    <t>Miscellaneous</t>
  </si>
  <si>
    <t>Non-proportional reinsurance - property</t>
  </si>
  <si>
    <t>Non-proportional reinsurance - casualty</t>
  </si>
  <si>
    <t>Non-proportional reinsurance - MAT</t>
  </si>
  <si>
    <t>S.26.05.01.02 - Non-life premium and reserve risk</t>
  </si>
  <si>
    <t>Non-life premium and reserve risk</t>
  </si>
  <si>
    <t>S.26.05.01.03 - Non-Life lapse risk</t>
  </si>
  <si>
    <t>Non-life lapse risk</t>
  </si>
  <si>
    <t>S.26.05.01.04 - Non-life catastrophe risk and total non-life underwriting risk</t>
  </si>
  <si>
    <t>Non-life catastrophe risk</t>
  </si>
  <si>
    <t>Diversification within non - life underwriting risk module</t>
  </si>
  <si>
    <t>Total non-life underwriting risk</t>
  </si>
  <si>
    <t>S.26.05.01.05 - Simplifications used</t>
  </si>
  <si>
    <t>Captives simplifications - premium and reserve risk</t>
  </si>
  <si>
    <t>Simplifications used - non-life lapse risk</t>
  </si>
  <si>
    <t>R0011</t>
  </si>
  <si>
    <t>S.26.05.04.01 - Non-life premium and reserve Risk</t>
  </si>
  <si>
    <t>S.26.05.04.02 - Non-life premium and reserve risk</t>
  </si>
  <si>
    <t>S.26.05.04.03 - Non-Life lapse risk</t>
  </si>
  <si>
    <t>S.26.05.04.04 - Non-life catastrophe risk and total non-life underwriting risk</t>
  </si>
  <si>
    <t>S.26.05.04.05 - Simplifications used</t>
  </si>
  <si>
    <t>SR.26.05.01.01 - Non-life premium and reserve risk</t>
  </si>
  <si>
    <t>SR.26.05.01.02 - Non-life premium and reserve risk (Solvency capital requirement)</t>
  </si>
  <si>
    <t>SR.26.05.01.03 - Non-Life lapse risk</t>
  </si>
  <si>
    <t>SR.26.05.01.04 - Non-life catastrophe risk and total non-life underwriting risk</t>
  </si>
  <si>
    <t>SR.26.05.01.05 - Simplifications used</t>
  </si>
  <si>
    <t>S.26.06.01.01 - Operational risk - basic information</t>
  </si>
  <si>
    <t>Capital requirement</t>
  </si>
  <si>
    <t>Operational risk - Information on technical provisions</t>
  </si>
  <si>
    <t>Life gross technical provisions (excluding risk margin) (other than unit-linked or index-linked)</t>
  </si>
  <si>
    <t>Life gross technical provisions unit-linked (excluding risk margin)</t>
  </si>
  <si>
    <t>Non-life gross technical provisions (excluding risk margin)</t>
  </si>
  <si>
    <t>Capital requirement for operational risk based on technical provisions</t>
  </si>
  <si>
    <t>Operational risk - Information on earned premiums</t>
  </si>
  <si>
    <t>Earned life gross premiums (previous 12 months) (other than unit-linked or index-linked)</t>
  </si>
  <si>
    <t>Earned life gross premiums unit-linked (previous 12 months)</t>
  </si>
  <si>
    <t>Earned non-life gross premiums (previous 12 months)</t>
  </si>
  <si>
    <t>Earned life gross premiums (12 months prior to the previous 12 months) (other than unit-linked or index-linked)</t>
  </si>
  <si>
    <t>Earned life gross premiums unit-linked (12 months prior to the previous 12 months)</t>
  </si>
  <si>
    <t>Earned non-life gross premiums (12 months prior to the previous 12 months)</t>
  </si>
  <si>
    <t>Capital requirement for operational risk based on earned premiums</t>
  </si>
  <si>
    <t>Operational risk - calculation of the SCR</t>
  </si>
  <si>
    <t>Capital requirement for operational risk charge before capping</t>
  </si>
  <si>
    <t>Percentage of Basic Solvency Capital Requirement</t>
  </si>
  <si>
    <t>Capital requirement for operational risk charge after capping</t>
  </si>
  <si>
    <t>Expenses incurred in respect of unit linked business (previous 12 months)</t>
  </si>
  <si>
    <t>Total capital requirement for operational risk</t>
  </si>
  <si>
    <t>S.26.06.04.01 - Operational risk - basic information</t>
  </si>
  <si>
    <t>SR.26.06.01.01 - Operational risk - basic information</t>
  </si>
  <si>
    <t>S.26.07.01.01 - Market risk - Spread risk (bonds and loans) (including captives)</t>
  </si>
  <si>
    <t>Market value</t>
  </si>
  <si>
    <t>Modified duration</t>
  </si>
  <si>
    <t>S.26.07.01.02 - Market risk - Increase in unit-linked and index-linked technical provisions</t>
  </si>
  <si>
    <t>Increase in unit-linked and index-linked technical provisions</t>
  </si>
  <si>
    <t>S.26.07.01.03 - Market risk - Interest rate risk (captives)</t>
  </si>
  <si>
    <t>Currency for interest rate risk (captives)</t>
  </si>
  <si>
    <t>Interest rate up</t>
  </si>
  <si>
    <t>Interest rate down</t>
  </si>
  <si>
    <t>S.26.07.01.04 - Life underwriting risk</t>
  </si>
  <si>
    <t>Capital at risk</t>
  </si>
  <si>
    <t>Capital at risk t+1</t>
  </si>
  <si>
    <t>Surrender strain</t>
  </si>
  <si>
    <t>Average rate t+1</t>
  </si>
  <si>
    <t>Average rate t+2</t>
  </si>
  <si>
    <t>Average run off period</t>
  </si>
  <si>
    <t>Termination rate</t>
  </si>
  <si>
    <t>Payments</t>
  </si>
  <si>
    <t>Average inflation rate</t>
  </si>
  <si>
    <t>Lapse risk (up)</t>
  </si>
  <si>
    <t>Lapse risk (down)</t>
  </si>
  <si>
    <t>Health disability-morbidity risk (medical expense)</t>
  </si>
  <si>
    <t>Health disability-morbidity risk (income protection)</t>
  </si>
  <si>
    <t>Health SLT lapse risk</t>
  </si>
  <si>
    <t>S.26.07.01.05 - Market risk - Market risk concentrations</t>
  </si>
  <si>
    <t>Debt portfolio share</t>
  </si>
  <si>
    <t>S.26.07.01.06 - NAT CAT simplifications</t>
  </si>
  <si>
    <t>Risk weight that was chosen</t>
  </si>
  <si>
    <t>Sum of exposure</t>
  </si>
  <si>
    <t>Windstorm</t>
  </si>
  <si>
    <t>Hail</t>
  </si>
  <si>
    <t>Earthquake</t>
  </si>
  <si>
    <t>Flood</t>
  </si>
  <si>
    <t>Subsidence</t>
  </si>
  <si>
    <t>S.26.07.04.01 - Market risk - Spread risk (bonds and loans) (including captives)</t>
  </si>
  <si>
    <t>S.26.07.04.02 - Market risk - Increase in unit-linked and index-linked technical provisions</t>
  </si>
  <si>
    <t>S.26.07.04.03 - Market risk - Interest rate risk (captives)</t>
  </si>
  <si>
    <t>S.26.07.04.04 - Life underwriting risk</t>
  </si>
  <si>
    <t>S.26.07.04.05 - Market risk - Market risk concentrations</t>
  </si>
  <si>
    <t>S.26.07.04.06 - NAT CAT simplifications</t>
  </si>
  <si>
    <t>SR.26.07.01.01 - Market risk - Spread risk (bonds and loans) (including captives)</t>
  </si>
  <si>
    <t>SR.26.07.01.02 - Market risk - Increase in unit-linked and index-linked technical provisions</t>
  </si>
  <si>
    <t>SR.26.07.01.03 - Market risk - Interest rate risk (captives)</t>
  </si>
  <si>
    <t>SR.26.07.01.04 - Life underwriting risk</t>
  </si>
  <si>
    <t>SR.26.07.01.05 - Market risk - Market risk concentrations</t>
  </si>
  <si>
    <t>SR.26.07.01.06 - NAT CAT simplifications</t>
  </si>
  <si>
    <t>S.27.01.01.01 - Non-life and Health catastrophe risk - Summary</t>
  </si>
  <si>
    <t>SCR before risk mitigation</t>
  </si>
  <si>
    <t>Total risk mitigation</t>
  </si>
  <si>
    <t>SCR after risk mitigation</t>
  </si>
  <si>
    <t>Non-life catastrophe risk - Summary</t>
  </si>
  <si>
    <t>Natural catastrophe risk</t>
  </si>
  <si>
    <t>Diversification between perils</t>
  </si>
  <si>
    <t>Catastrophe risk non-proportional property reinsurance</t>
  </si>
  <si>
    <t>Man-made catastrophe risk</t>
  </si>
  <si>
    <t>Marine</t>
  </si>
  <si>
    <t>Aviation</t>
  </si>
  <si>
    <t>Fire</t>
  </si>
  <si>
    <t>Liability</t>
  </si>
  <si>
    <t>Credit &amp; Suretyship</t>
  </si>
  <si>
    <t>Other non-life catastrophe risk</t>
  </si>
  <si>
    <t>Total Non-life catastrophe risk before diversification</t>
  </si>
  <si>
    <t>Diversification between sub-modules</t>
  </si>
  <si>
    <t>Total Non-life catastrophe risk after diversification</t>
  </si>
  <si>
    <t>Health catastrophe risk - Summary</t>
  </si>
  <si>
    <t>Health catastrophe risk</t>
  </si>
  <si>
    <t>Mass accident</t>
  </si>
  <si>
    <t>Accident concentration</t>
  </si>
  <si>
    <t>Pandemic</t>
  </si>
  <si>
    <t>S.27.01.01.02 - Natural Catastrophe risk - Windstorm</t>
  </si>
  <si>
    <t>Estimation of the gross premiums to be earned</t>
  </si>
  <si>
    <t>Exposure</t>
  </si>
  <si>
    <t>Specified Gross Loss</t>
  </si>
  <si>
    <t>Catastrophe Risk Charge Factor before risk mitigation</t>
  </si>
  <si>
    <t>Scenario A or B</t>
  </si>
  <si>
    <t>Catastrophe Risk Charge before risk mitigation</t>
  </si>
  <si>
    <t>Estimated Risk Mitigation</t>
  </si>
  <si>
    <t>Estimated Reinstatement Premiums</t>
  </si>
  <si>
    <t>Catastrophe Risk Charge after risk mitigation</t>
  </si>
  <si>
    <t>Natural Catastrophe risk - Windstorm</t>
  </si>
  <si>
    <t>Republic of Austria</t>
  </si>
  <si>
    <t>Kingdom of Belgium</t>
  </si>
  <si>
    <t>Czech Republic</t>
  </si>
  <si>
    <t>Swiss Confederation; Principality of Lichtenstein</t>
  </si>
  <si>
    <t>Kingdom of Denmark</t>
  </si>
  <si>
    <t>Republic of Slovenia</t>
  </si>
  <si>
    <t>R0441</t>
  </si>
  <si>
    <t>French Republic [except Guadeloupe, Martinique, the Collectivity of Saint Martin and Réunion]; Principality of Monaco; Principality of Andorra</t>
  </si>
  <si>
    <t>Federal Republic of Germany</t>
  </si>
  <si>
    <t>Republic of Hungary</t>
  </si>
  <si>
    <t>Republic of Iceland</t>
  </si>
  <si>
    <t>Ireland</t>
  </si>
  <si>
    <t>Grand Duchy of Luxemburg</t>
  </si>
  <si>
    <t>Kingdom of the Netherlands</t>
  </si>
  <si>
    <t>Kingdom of Norway</t>
  </si>
  <si>
    <t>Republic of Poland</t>
  </si>
  <si>
    <t>Republic of Finland</t>
  </si>
  <si>
    <t>R0521</t>
  </si>
  <si>
    <t>Kingdom of Spain</t>
  </si>
  <si>
    <t>Kingdom of Sweden</t>
  </si>
  <si>
    <t>United Kingdom of Great Britain and Northern Ireland</t>
  </si>
  <si>
    <t>Guadeloupe</t>
  </si>
  <si>
    <t>Martinique</t>
  </si>
  <si>
    <t>Collectivity of Saint Martin</t>
  </si>
  <si>
    <t>Réunion</t>
  </si>
  <si>
    <t>Total Windstorm specified Regions before diversification</t>
  </si>
  <si>
    <t>Northern Europe</t>
  </si>
  <si>
    <t>Western Europe</t>
  </si>
  <si>
    <t>Eastern Europe</t>
  </si>
  <si>
    <t>Southern Europe</t>
  </si>
  <si>
    <t>Central and Western Asia</t>
  </si>
  <si>
    <t>Eastern Asia</t>
  </si>
  <si>
    <t>South and South-Eastern Asia</t>
  </si>
  <si>
    <t>Oceania</t>
  </si>
  <si>
    <t>Northern Africa</t>
  </si>
  <si>
    <t>Southern Africa</t>
  </si>
  <si>
    <t>Northern America excluding the United States of America</t>
  </si>
  <si>
    <t>Caribbean and Central America</t>
  </si>
  <si>
    <t>Eastern South America</t>
  </si>
  <si>
    <t>Northern, southern and western South America</t>
  </si>
  <si>
    <t>North-east United States of America</t>
  </si>
  <si>
    <t>South-east United States of America</t>
  </si>
  <si>
    <t>Mid-west United States of America</t>
  </si>
  <si>
    <t>Western United States of America</t>
  </si>
  <si>
    <t>Total Windstorm Other Regions before diversifications</t>
  </si>
  <si>
    <t>Total Windstorm all Regions before diversification</t>
  </si>
  <si>
    <t>Diversification effect between regions</t>
  </si>
  <si>
    <t>Total Windstorm after diversification</t>
  </si>
  <si>
    <t>S.27.01.01.03 - Natural Catastrophe risk - Earthquake</t>
  </si>
  <si>
    <t>Natural Catastrophe risk - Earthquake</t>
  </si>
  <si>
    <t>Republic of Bulgaria</t>
  </si>
  <si>
    <t>Republic of Croatia</t>
  </si>
  <si>
    <t>Republic of Cyprus</t>
  </si>
  <si>
    <t>Hellenic Republic</t>
  </si>
  <si>
    <t>Italian Republic; Republic of San Marino; Vatican City State</t>
  </si>
  <si>
    <t>Republic of Malta</t>
  </si>
  <si>
    <t>Portuguese Republic</t>
  </si>
  <si>
    <t>Romania</t>
  </si>
  <si>
    <t>Slovak Republic</t>
  </si>
  <si>
    <t>Total Earthquake specified Regions before diversification</t>
  </si>
  <si>
    <t>R1060</t>
  </si>
  <si>
    <t>R1070</t>
  </si>
  <si>
    <t>R1080</t>
  </si>
  <si>
    <t>R1090</t>
  </si>
  <si>
    <t>R1130</t>
  </si>
  <si>
    <t>R1140</t>
  </si>
  <si>
    <t>R1150</t>
  </si>
  <si>
    <t>R1160</t>
  </si>
  <si>
    <t>R1170</t>
  </si>
  <si>
    <t>R1180</t>
  </si>
  <si>
    <t>R1190</t>
  </si>
  <si>
    <t>R1210</t>
  </si>
  <si>
    <t>Total Earthquake Other Regions before diversifications</t>
  </si>
  <si>
    <t>R1220</t>
  </si>
  <si>
    <t>Total Earthquake all Regions before diversification</t>
  </si>
  <si>
    <t>R1230</t>
  </si>
  <si>
    <t>R1240</t>
  </si>
  <si>
    <t>Total Earthquake after diversification</t>
  </si>
  <si>
    <t>R1250</t>
  </si>
  <si>
    <t>S.27.01.01.04 - Natural Catastrophe risk - Flood</t>
  </si>
  <si>
    <t>Natural Catastrophe risk - Flood</t>
  </si>
  <si>
    <t>R1260</t>
  </si>
  <si>
    <t>R1270</t>
  </si>
  <si>
    <t>R1280</t>
  </si>
  <si>
    <t>R1290</t>
  </si>
  <si>
    <t>R1310</t>
  </si>
  <si>
    <t>R1320</t>
  </si>
  <si>
    <t>R1330</t>
  </si>
  <si>
    <t>R1340</t>
  </si>
  <si>
    <t>R1350</t>
  </si>
  <si>
    <t>R1360</t>
  </si>
  <si>
    <t>R1370</t>
  </si>
  <si>
    <t>R1380</t>
  </si>
  <si>
    <t>R1390</t>
  </si>
  <si>
    <t>Total Flood specified Regions before diversification</t>
  </si>
  <si>
    <t>R1430</t>
  </si>
  <si>
    <t>R1440</t>
  </si>
  <si>
    <t>R1450</t>
  </si>
  <si>
    <t>R1460</t>
  </si>
  <si>
    <t>R1470</t>
  </si>
  <si>
    <t>R1480</t>
  </si>
  <si>
    <t>R1490</t>
  </si>
  <si>
    <t>R1550</t>
  </si>
  <si>
    <t>R1560</t>
  </si>
  <si>
    <t>R1570</t>
  </si>
  <si>
    <t>R1580</t>
  </si>
  <si>
    <t>Total Flood Other Regions before diversifications</t>
  </si>
  <si>
    <t>R1590</t>
  </si>
  <si>
    <t>Total Flood all Regions before diversification</t>
  </si>
  <si>
    <t>Total Flood after diversification</t>
  </si>
  <si>
    <t>S.27.01.01.05 - Natural Catastrophe risk - Hail</t>
  </si>
  <si>
    <t>Natural Catastrophe risk - Hail</t>
  </si>
  <si>
    <t>R1630</t>
  </si>
  <si>
    <t>R1640</t>
  </si>
  <si>
    <t>R1641</t>
  </si>
  <si>
    <t>R1650</t>
  </si>
  <si>
    <t>R1660</t>
  </si>
  <si>
    <t>R1670</t>
  </si>
  <si>
    <t>R1680</t>
  </si>
  <si>
    <t>R1690</t>
  </si>
  <si>
    <t>R1701</t>
  </si>
  <si>
    <t>Total Hail specified Regions before diversification</t>
  </si>
  <si>
    <t>R1730</t>
  </si>
  <si>
    <t>R1740</t>
  </si>
  <si>
    <t>R1750</t>
  </si>
  <si>
    <t>R1760</t>
  </si>
  <si>
    <t>R1770</t>
  </si>
  <si>
    <t>R1780</t>
  </si>
  <si>
    <t>R1790</t>
  </si>
  <si>
    <t>R1810</t>
  </si>
  <si>
    <t>R1820</t>
  </si>
  <si>
    <t>R1830</t>
  </si>
  <si>
    <t>R1840</t>
  </si>
  <si>
    <t>R1850</t>
  </si>
  <si>
    <t>R1860</t>
  </si>
  <si>
    <t>R1870</t>
  </si>
  <si>
    <t>R1880</t>
  </si>
  <si>
    <t>R1890</t>
  </si>
  <si>
    <t>Total Hail Other Regions before diversifications</t>
  </si>
  <si>
    <t>Total Hail all Regions before diversification</t>
  </si>
  <si>
    <t>R1930</t>
  </si>
  <si>
    <t>Total Hail after diversification</t>
  </si>
  <si>
    <t>R1940</t>
  </si>
  <si>
    <t>S.27.01.01.06 - Natural Catastrophe risk -Subsidence</t>
  </si>
  <si>
    <t>Natural Catastrophe risk -Subsidence</t>
  </si>
  <si>
    <t>Total Subsidence before diversification</t>
  </si>
  <si>
    <t>R1950</t>
  </si>
  <si>
    <t>Diversification effect between zones</t>
  </si>
  <si>
    <t>R1960</t>
  </si>
  <si>
    <t>Total Subsidence after diversification</t>
  </si>
  <si>
    <t>R1970</t>
  </si>
  <si>
    <t>S.27.01.01.07 - Catastrophe risk - Non-proportional property reinsurance</t>
  </si>
  <si>
    <t>Catastrophe risk - Non-proportional property reinsurance</t>
  </si>
  <si>
    <t>Estimation of the premiums to be earned</t>
  </si>
  <si>
    <t>S.27.01.01.08 - Man made catastrophe risk - Motor Vehicle Liability</t>
  </si>
  <si>
    <t>Man made catastrophe risk - Motor Vehicle Liability</t>
  </si>
  <si>
    <t>Number of vehicles policy limit above 24M€</t>
  </si>
  <si>
    <t>Number of vehicles policy limit below or equal to 24M€</t>
  </si>
  <si>
    <t>Catastrophe Risk Charge Motor Vehicle Liability before risk mitigation</t>
  </si>
  <si>
    <t>Catastrophe Risk Charge Motor Vehicle Liability after risk mitigation</t>
  </si>
  <si>
    <t>Motor Vehicle Liability</t>
  </si>
  <si>
    <t>S.27.01.01.09 - Man made catastrophe risk - Marine Tanker Collision</t>
  </si>
  <si>
    <t>Catastrophe Risk Charge Share marine hull in tanker t before risk mitigation</t>
  </si>
  <si>
    <t>Catastrophe Risk Charge Share marine liability in tanker t before risk mitigation</t>
  </si>
  <si>
    <t>Catastrophe Risk Charge Share marine oil pollution liability in tanker t before risk mitigation</t>
  </si>
  <si>
    <t>Catastrophe Risk Charge Marine Tanker Collision before risk mitigation</t>
  </si>
  <si>
    <t>Catastrophe Risk Charge Marine Tanker Collision after risk mitigation</t>
  </si>
  <si>
    <t>Name of vessel</t>
  </si>
  <si>
    <t>Marine Tanker Collision</t>
  </si>
  <si>
    <t>S.27.01.01.10 - Man made catastrophe risk - Marine Platform Explosion</t>
  </si>
  <si>
    <t>Catastrophe Risk Charge Property damage before risk mitigation</t>
  </si>
  <si>
    <t>Catastrophe Risk Charge Removal of wreckage before risk mitigation</t>
  </si>
  <si>
    <t>Catastrophe Risk Charge Loss of production income before risk mitigation</t>
  </si>
  <si>
    <t>Catastrophe Risk Charge Capping of the well or making the well secure before risk mitigation</t>
  </si>
  <si>
    <t>Catastrophe Risk Charge Liability insurance and reinsurance obligations before risk mitigation</t>
  </si>
  <si>
    <t>Catastrophe Risk Charge Marine Platform Explosion before risk mitigation</t>
  </si>
  <si>
    <t>Catastrophe Risk Charge Marine Platform Explosion after risk mitigation</t>
  </si>
  <si>
    <t>Name of platform</t>
  </si>
  <si>
    <t>Marine Platform Explosion</t>
  </si>
  <si>
    <t>S.27.01.01.11 - Man made catastrophe risk - Marine</t>
  </si>
  <si>
    <t>Man made catastrophe risk - Marine</t>
  </si>
  <si>
    <t>Catastrophe Risk Charge Marine before risk mitigation</t>
  </si>
  <si>
    <t>Estimated Total Risk Mitigation</t>
  </si>
  <si>
    <t>Catastrophe Risk Charge Marine after risk mitigation</t>
  </si>
  <si>
    <t>Total before diversification</t>
  </si>
  <si>
    <t>Diversification between type of event</t>
  </si>
  <si>
    <t>R2410</t>
  </si>
  <si>
    <t>Total after diversification</t>
  </si>
  <si>
    <t>R2420</t>
  </si>
  <si>
    <t>S.27.01.01.12 - Man made catastrophe risk - Aviation</t>
  </si>
  <si>
    <t>Man made catastrophe risk - Aviation</t>
  </si>
  <si>
    <t>Catastrophe risk Charge Aviation hull before risk mitigation</t>
  </si>
  <si>
    <t>Catastrophe risk Charge Aviation liability before risk mitigation</t>
  </si>
  <si>
    <t>Catastrophe Risk Charge Aviation before risk mitigation</t>
  </si>
  <si>
    <t>Catastrophe Risk Charge Aviation after risk mitigation</t>
  </si>
  <si>
    <t>Gross Catastrophe Risk Charge Aviation</t>
  </si>
  <si>
    <t>S.27.01.01.13 - Man made catastrophe risk - Fire</t>
  </si>
  <si>
    <t>Man made catastrophe risk - Fire</t>
  </si>
  <si>
    <t>Catastrophe Risk Charge Fire before risk mitigation</t>
  </si>
  <si>
    <t>Catastrophe Risk Charge Fire after risk mitigation</t>
  </si>
  <si>
    <t>S.27.01.01.14 - Man made catastrophe risk - Liability</t>
  </si>
  <si>
    <t>Man made catastrophe risk - Liability</t>
  </si>
  <si>
    <t>Earned premium following 12 months</t>
  </si>
  <si>
    <t>Largest liability limit provided</t>
  </si>
  <si>
    <t>Catastrophe Risk Charge Liability before risk mitigation</t>
  </si>
  <si>
    <t>Catastrophe Risk Charge Liability after risk mitigation</t>
  </si>
  <si>
    <t>Professional malpractice liability</t>
  </si>
  <si>
    <t>Employers liability</t>
  </si>
  <si>
    <t>R2710</t>
  </si>
  <si>
    <t>Directors and officers liability</t>
  </si>
  <si>
    <t>R2720</t>
  </si>
  <si>
    <t>Other liability</t>
  </si>
  <si>
    <t>R2730</t>
  </si>
  <si>
    <t>Non-proportional reinsurance</t>
  </si>
  <si>
    <t>R2740</t>
  </si>
  <si>
    <t>R2750</t>
  </si>
  <si>
    <t>S.27.01.01.15 - Man made catastrophe risk - Liability</t>
  </si>
  <si>
    <t>C0980</t>
  </si>
  <si>
    <t>R2800</t>
  </si>
  <si>
    <t>Diversification between type of cover</t>
  </si>
  <si>
    <t>R2810</t>
  </si>
  <si>
    <t>R2820</t>
  </si>
  <si>
    <t>S.27.01.01.16 - Man made catastrophe risk - Credit &amp; Suretyship - Large Credit Default</t>
  </si>
  <si>
    <t>Man made catastrophe risk - Credit &amp; Suretyship - Large Credit Default</t>
  </si>
  <si>
    <t>Exposure (individual or group)</t>
  </si>
  <si>
    <t>C0990</t>
  </si>
  <si>
    <t>Proportion of damage caused by scenario</t>
  </si>
  <si>
    <t>Catastrophe Risk Charge Credit &amp; Surety before risk mitigation - Large Credit Default</t>
  </si>
  <si>
    <t>Catastrophe Risk Charge Credit &amp; Surety after risk mitigation - Large Credit Default</t>
  </si>
  <si>
    <t>Largest exposure 1</t>
  </si>
  <si>
    <t>R2900</t>
  </si>
  <si>
    <t>Largest exposure 2</t>
  </si>
  <si>
    <t>R2910</t>
  </si>
  <si>
    <t>R2920</t>
  </si>
  <si>
    <t>S.27.01.01.17 - Man made catastrophe risk - Credit &amp; Suretyship - Recession Risk</t>
  </si>
  <si>
    <t>Man made catastrophe risk - Credit &amp; Suretyship - Recession Risk</t>
  </si>
  <si>
    <t>Catastrophe Risk Charge Credit &amp; Suretyship before risk mitigation - Recession Risk</t>
  </si>
  <si>
    <t>Catastrophe Risk Charge Credit &amp; Suretyship after risk mitigation - Recession Risk</t>
  </si>
  <si>
    <t>R3000</t>
  </si>
  <si>
    <t>S.27.01.01.18 - Man made catastrophe risk - Credit &amp; Suretyship</t>
  </si>
  <si>
    <t>Man made catastrophe risk - Credit &amp; Suretyship</t>
  </si>
  <si>
    <t>Catastrophe Risk Charge Credit &amp; Suretyship before risk mitigation</t>
  </si>
  <si>
    <t>Catastrophe Risk Charge Credit &amp; Suretyship after risk mitigation</t>
  </si>
  <si>
    <t>R3100</t>
  </si>
  <si>
    <t>R3110</t>
  </si>
  <si>
    <t>R3120</t>
  </si>
  <si>
    <t>S.27.01.01.19 - Man made catastrophe risk - Other non-life catastrophe risk</t>
  </si>
  <si>
    <t>Man made catastrophe risk - Other non-life catastrophe risk</t>
  </si>
  <si>
    <t>Catastrophe Risk Charge Other non-life catastrophe risk before risk mitigation</t>
  </si>
  <si>
    <t>Catastrophe Risk Charge Other non-life catastrophe risk after risk mitigation</t>
  </si>
  <si>
    <t>MAT other than Marine and Aviation</t>
  </si>
  <si>
    <t>R3200</t>
  </si>
  <si>
    <t>Non-proportional MAT reinsurance other than Marine and Aviation</t>
  </si>
  <si>
    <t>R3210</t>
  </si>
  <si>
    <t>R3220</t>
  </si>
  <si>
    <t>Non-proportional Casualty reinsurance other than General liability</t>
  </si>
  <si>
    <t>R3230</t>
  </si>
  <si>
    <t>Non-proportional Credit &amp; Surety reinsurance</t>
  </si>
  <si>
    <t>R3240</t>
  </si>
  <si>
    <t>R3250</t>
  </si>
  <si>
    <t>Diversification between groups of obligations</t>
  </si>
  <si>
    <t>R3260</t>
  </si>
  <si>
    <t>R3270</t>
  </si>
  <si>
    <t>S.27.01.01.20 - Health Catastrophe risk - Mass accident</t>
  </si>
  <si>
    <t>Accidental death</t>
  </si>
  <si>
    <t># Policyholders</t>
  </si>
  <si>
    <t>C1170</t>
  </si>
  <si>
    <t>Total value of benefits payable</t>
  </si>
  <si>
    <t>C1180</t>
  </si>
  <si>
    <t>Permanent disability</t>
  </si>
  <si>
    <t>C1190</t>
  </si>
  <si>
    <t>Disability 12 months</t>
  </si>
  <si>
    <t>Medical treatment</t>
  </si>
  <si>
    <t>Health Catastrophe risk - Mass accident</t>
  </si>
  <si>
    <t>R3300</t>
  </si>
  <si>
    <t>R3310</t>
  </si>
  <si>
    <t>R3320</t>
  </si>
  <si>
    <t>R3330</t>
  </si>
  <si>
    <t>R3340</t>
  </si>
  <si>
    <t>R3350</t>
  </si>
  <si>
    <t>R3360</t>
  </si>
  <si>
    <t>Republic of Estonia</t>
  </si>
  <si>
    <t>R3370</t>
  </si>
  <si>
    <t>R3380</t>
  </si>
  <si>
    <t>French Republic; Principality of Monaco; Principality of Andorra</t>
  </si>
  <si>
    <t>R3390</t>
  </si>
  <si>
    <t>R3400</t>
  </si>
  <si>
    <t>R3410</t>
  </si>
  <si>
    <t>R3420</t>
  </si>
  <si>
    <t>R3430</t>
  </si>
  <si>
    <t>R3440</t>
  </si>
  <si>
    <t>R3450</t>
  </si>
  <si>
    <t>Republic of Latvia</t>
  </si>
  <si>
    <t>R3460</t>
  </si>
  <si>
    <t>Republic of Lithuania</t>
  </si>
  <si>
    <t>R3470</t>
  </si>
  <si>
    <t>R3480</t>
  </si>
  <si>
    <t>R3490</t>
  </si>
  <si>
    <t>R3500</t>
  </si>
  <si>
    <t>R3510</t>
  </si>
  <si>
    <t>R3520</t>
  </si>
  <si>
    <t>R3530</t>
  </si>
  <si>
    <t>R3540</t>
  </si>
  <si>
    <t>R3550</t>
  </si>
  <si>
    <t>R3560</t>
  </si>
  <si>
    <t>R3570</t>
  </si>
  <si>
    <t>R3580</t>
  </si>
  <si>
    <t>Swiss Confederation</t>
  </si>
  <si>
    <t>R3590</t>
  </si>
  <si>
    <t>R3600</t>
  </si>
  <si>
    <t>Total Mass accident all countries before diversification</t>
  </si>
  <si>
    <t>R3610</t>
  </si>
  <si>
    <t>Diversification effect between countries</t>
  </si>
  <si>
    <t>R3620</t>
  </si>
  <si>
    <t>Total Mass accident all countries after diversification</t>
  </si>
  <si>
    <t>R3630</t>
  </si>
  <si>
    <t>S.27.01.01.21 - Health Catastrophe risk - Concentration accident</t>
  </si>
  <si>
    <t>Largest known accident risk concentration</t>
  </si>
  <si>
    <t>Average sum insured</t>
  </si>
  <si>
    <t>C1380</t>
  </si>
  <si>
    <t>C1390</t>
  </si>
  <si>
    <t>Health Catastrophe risk - Concentration accident</t>
  </si>
  <si>
    <t>R3700</t>
  </si>
  <si>
    <t>R3710</t>
  </si>
  <si>
    <t>R3720</t>
  </si>
  <si>
    <t>R3730</t>
  </si>
  <si>
    <t>R3740</t>
  </si>
  <si>
    <t>R3750</t>
  </si>
  <si>
    <t>R3760</t>
  </si>
  <si>
    <t>R3770</t>
  </si>
  <si>
    <t>R3780</t>
  </si>
  <si>
    <t>French Republic</t>
  </si>
  <si>
    <t>R3790</t>
  </si>
  <si>
    <t>R3800</t>
  </si>
  <si>
    <t>R3810</t>
  </si>
  <si>
    <t>R3820</t>
  </si>
  <si>
    <t>R3830</t>
  </si>
  <si>
    <t>R3840</t>
  </si>
  <si>
    <t>Italian Republic</t>
  </si>
  <si>
    <t>R3850</t>
  </si>
  <si>
    <t>R3860</t>
  </si>
  <si>
    <t>R3870</t>
  </si>
  <si>
    <t>R3880</t>
  </si>
  <si>
    <t>R3890</t>
  </si>
  <si>
    <t>R3900</t>
  </si>
  <si>
    <t>R3910</t>
  </si>
  <si>
    <t>R3920</t>
  </si>
  <si>
    <t>R3930</t>
  </si>
  <si>
    <t>R3940</t>
  </si>
  <si>
    <t>R3950</t>
  </si>
  <si>
    <t>R3960</t>
  </si>
  <si>
    <t>R3970</t>
  </si>
  <si>
    <t>R3980</t>
  </si>
  <si>
    <t>R3990</t>
  </si>
  <si>
    <t>R4000</t>
  </si>
  <si>
    <t>S.27.01.01.22 - Health Catastrophe risk - Pandemic</t>
  </si>
  <si>
    <t>Number of insured people</t>
  </si>
  <si>
    <t>Total pandemic exposure</t>
  </si>
  <si>
    <t>Number of insured persons</t>
  </si>
  <si>
    <t>Unit claim cost hospitalisation</t>
  </si>
  <si>
    <t>Ratio of insured persons using hospitalisation</t>
  </si>
  <si>
    <t>Unit claim cost medical practitioner</t>
  </si>
  <si>
    <t>Ratio of insured persons using medical practitioner</t>
  </si>
  <si>
    <t>Unit claim cost no formal medical care</t>
  </si>
  <si>
    <t>Ratio of insured persons using no formal medical care</t>
  </si>
  <si>
    <t>Health Catastrophe risk - Pandemic</t>
  </si>
  <si>
    <t>R4100</t>
  </si>
  <si>
    <t>R4110</t>
  </si>
  <si>
    <t>R4120</t>
  </si>
  <si>
    <t>R4130</t>
  </si>
  <si>
    <t>R4140</t>
  </si>
  <si>
    <t>R4150</t>
  </si>
  <si>
    <t>R4160</t>
  </si>
  <si>
    <t>R4170</t>
  </si>
  <si>
    <t>R4180</t>
  </si>
  <si>
    <t>R4190</t>
  </si>
  <si>
    <t>R4200</t>
  </si>
  <si>
    <t>R4210</t>
  </si>
  <si>
    <t>R4220</t>
  </si>
  <si>
    <t>R4230</t>
  </si>
  <si>
    <t>R4240</t>
  </si>
  <si>
    <t>R4250</t>
  </si>
  <si>
    <t>R4260</t>
  </si>
  <si>
    <t>R4270</t>
  </si>
  <si>
    <t>R4280</t>
  </si>
  <si>
    <t>R4290</t>
  </si>
  <si>
    <t>R4300</t>
  </si>
  <si>
    <t>R4310</t>
  </si>
  <si>
    <t>R4320</t>
  </si>
  <si>
    <t>R4330</t>
  </si>
  <si>
    <t>R4340</t>
  </si>
  <si>
    <t>R4350</t>
  </si>
  <si>
    <t>R4360</t>
  </si>
  <si>
    <t>R4370</t>
  </si>
  <si>
    <t>R4380</t>
  </si>
  <si>
    <t>R4390</t>
  </si>
  <si>
    <t>R4400</t>
  </si>
  <si>
    <t>S.27.01.01.23 - Health Catastrophe risk - Concentration accident</t>
  </si>
  <si>
    <t>Issuer country/country of residence</t>
  </si>
  <si>
    <t>Other countries to be considered in the Concentration accident</t>
  </si>
  <si>
    <t>R4010</t>
  </si>
  <si>
    <t>S.27.01.01.24 - Health Catastrophe risk - Pandemic</t>
  </si>
  <si>
    <t>Other countries to be considered in the Pandemic</t>
  </si>
  <si>
    <t>R4410</t>
  </si>
  <si>
    <t>S.27.01.01.25 - Health Catastrophe risk - Pandemic. Total</t>
  </si>
  <si>
    <t>Total Pandemic all countries</t>
  </si>
  <si>
    <t>R4420</t>
  </si>
  <si>
    <t>S.27.01.01.26 - Health Catastrophe risk - Concentration accident</t>
  </si>
  <si>
    <t>Total Concentration accident all countries before diversification</t>
  </si>
  <si>
    <t>R4020</t>
  </si>
  <si>
    <t>R4030</t>
  </si>
  <si>
    <t>Total Concentration accident all countries after diversification</t>
  </si>
  <si>
    <t>R4040</t>
  </si>
  <si>
    <t>S.27.01.01.27 - Simplifications used</t>
  </si>
  <si>
    <t>Simplifications used - fire risk</t>
  </si>
  <si>
    <t>Simplifications used - natural catastrophe risk</t>
  </si>
  <si>
    <t>R0002</t>
  </si>
  <si>
    <t>S.27.01.01.28 - Number of vessels</t>
  </si>
  <si>
    <t>Number</t>
  </si>
  <si>
    <t>C0781</t>
  </si>
  <si>
    <t>Number of vessels below the threshold of EUR 250k</t>
  </si>
  <si>
    <t>R2421</t>
  </si>
  <si>
    <t>S.27.01.04.01 - Non-life and Health catastrophe risk - Summary</t>
  </si>
  <si>
    <t>S.27.01.04.02 - Natural Catastrophe risk - Windstorm</t>
  </si>
  <si>
    <t>S.27.01.04.03 - Natural Catastrophe risk - Earthquake</t>
  </si>
  <si>
    <t>S.27.01.04.04 - Natural Catastrophe risk - Flood</t>
  </si>
  <si>
    <t>S.27.01.04.05 - Natural Catastrophe risk - Hail</t>
  </si>
  <si>
    <t>S.27.01.04.06 - Natural Catastrophe risk -Subsidence</t>
  </si>
  <si>
    <t>S.27.01.04.07 - Catastrophe risk - Non-proportional property reinsurance</t>
  </si>
  <si>
    <t>S.27.01.04.08 - Man made catastrophe risk - Motor Vehicle Liability</t>
  </si>
  <si>
    <t>S.27.01.04.09 - Man made catastrophe risk - Marine Tanker Collision</t>
  </si>
  <si>
    <t>S.27.01.04.10 - Man made catastrophe risk - Marine Platform Explosion</t>
  </si>
  <si>
    <t>S.27.01.04.11 - Man made catastrophe risk - Marine</t>
  </si>
  <si>
    <t>S.27.01.04.12 - Man made catastrophe risk - Aviation</t>
  </si>
  <si>
    <t>S.27.01.04.13 - Man made catastrophe risk - Fire</t>
  </si>
  <si>
    <t>S.27.01.04.14 - Man made catastrophe risk - Liability</t>
  </si>
  <si>
    <t>S.27.01.04.15 - Man made catastrophe risk - Liability</t>
  </si>
  <si>
    <t>S.27.01.04.16 - Man made catastrophe risk - Credit &amp; Suretyship - Large Credit Default</t>
  </si>
  <si>
    <t>S.27.01.04.17 - Man made catastrophe risk - Credit &amp; Suretyship - Recession Risk</t>
  </si>
  <si>
    <t>S.27.01.04.18 - Man made catastrophe risk - Credit &amp; Suretyship</t>
  </si>
  <si>
    <t>S.27.01.04.19 - Man made catastrophe risk - Other non-life catastrophe risk</t>
  </si>
  <si>
    <t>S.27.01.04.20 - Health Catastrophe risk - Mass accident</t>
  </si>
  <si>
    <t>S.27.01.04.21 - Health Catastrophe risk - Concentration accident</t>
  </si>
  <si>
    <t>S.27.01.04.22 - Health Catastrophe risk - Pandemic</t>
  </si>
  <si>
    <t>S.27.01.04.23 - Health Catastrophe risk - Concentration accident</t>
  </si>
  <si>
    <t>S.27.01.04.24 - Health Catastrophe risk - Pandemic</t>
  </si>
  <si>
    <t>S.27.01.04.25 - Health Catastrophe risk - Pandemic. Total</t>
  </si>
  <si>
    <t>S.27.01.04.26 - Health Catastrophe risk - Concentration accident</t>
  </si>
  <si>
    <t>S.27.01.04.27 - Simplifications used</t>
  </si>
  <si>
    <t>S.27.01.04.28 - Number of vessels</t>
  </si>
  <si>
    <t>SR.27.01.01.01 - Non-life and Health catastrophe risk - Summary</t>
  </si>
  <si>
    <t>SR.27.01.01.02 - Natural Catastrophe risk - Windstorm</t>
  </si>
  <si>
    <t>SR.27.01.01.03 - Natural Catastrophe risk - Earthquake</t>
  </si>
  <si>
    <t>SR.27.01.01.04 - Natural Catastrophe risk - Flood</t>
  </si>
  <si>
    <t>SR.27.01.01.05 - Natural Catastrophe risk - Hail</t>
  </si>
  <si>
    <t>SR.27.01.01.06 - Natural Catastrophe risk -Subsidence</t>
  </si>
  <si>
    <t>SR.27.01.01.07 - Catastrophe risk - Non-proportional property reinsurance</t>
  </si>
  <si>
    <t>SR.27.01.01.08 - Man made catastrophe risk - Motor Vehicle Liability</t>
  </si>
  <si>
    <t>SR.27.01.01.09 - Man made catastrophe risk - Marine Tanker Collision</t>
  </si>
  <si>
    <t>SR.27.01.01.10 - Man made catastrophe risk - Marine Platform Explosion</t>
  </si>
  <si>
    <t>SR.27.01.01.11 - Man made catastrophe risk - Marine</t>
  </si>
  <si>
    <t>SR.27.01.01.12 - Man made catastrophe risk - Aviation</t>
  </si>
  <si>
    <t>SR.27.01.01.13 - Man made catastrophe risk - Fire</t>
  </si>
  <si>
    <t>SR.27.01.01.14 - Man made catastrophe risk - Liability</t>
  </si>
  <si>
    <t>Earned premium following last 12 months</t>
  </si>
  <si>
    <t>SR.27.01.01.15 - Man made catastrophe risk - Liability</t>
  </si>
  <si>
    <t>SR.27.01.01.16 - Man made catastrophe risk - Credit &amp; Suretyship - Large Credit Default</t>
  </si>
  <si>
    <t>SR.27.01.01.17 - Man made catastrophe risk - Credit &amp; Suretyship - Recession Risk</t>
  </si>
  <si>
    <t>SR.27.01.01.18 - Man made catastrophe risk - Credit &amp; Suretyship</t>
  </si>
  <si>
    <t>SR.27.01.01.19 - Man made catastrophe risk - Other non-life catastrophe risk</t>
  </si>
  <si>
    <t>SR.27.01.01.20 - Health Catastrophe risk - Mass accident</t>
  </si>
  <si>
    <t>SR.27.01.01.21 - Health Catastrophe risk - Concentration accident</t>
  </si>
  <si>
    <t>SR.27.01.01.22 - Health Catastrophe risk - Pandemic</t>
  </si>
  <si>
    <t>SR.27.01.01.23 - Health Catastrophe risk - Concentration accident. Other countries to be considered in the Concentration accident</t>
  </si>
  <si>
    <t>SR.27.01.01.24 - Health Catastrophe risk - Pandemic. Other countries to be considered in the Pandemic</t>
  </si>
  <si>
    <t>SR.27.01.01.25 - Health Catastrophe risk - Pandemic. Total</t>
  </si>
  <si>
    <t>SR.27.01.01.26 - Health Catastrophe risk - Concentration accident. Total</t>
  </si>
  <si>
    <t>SR.27.01.01.27 - Simplifications used</t>
  </si>
  <si>
    <t>SR.27.01.01.28 - Number of vessels</t>
  </si>
  <si>
    <t>S.28.01.01.01 - Linear formula component for non-life insurance and reinsurance obligations</t>
  </si>
  <si>
    <t>MCR components</t>
  </si>
  <si>
    <t>MCRNL Result</t>
  </si>
  <si>
    <t>S.28.01.01.02 - Background information</t>
  </si>
  <si>
    <t>Background information</t>
  </si>
  <si>
    <t>Net (of reinsurance/SPV) best estimate and TP calculated as a whole</t>
  </si>
  <si>
    <t>Net (of reinsurance) written premiums in the last 12 months</t>
  </si>
  <si>
    <t>Medical expense insurance and proportional reinsurance</t>
  </si>
  <si>
    <t>Workers' compensation insurance and proportional reinsurance</t>
  </si>
  <si>
    <t>Motor vehicle liability insurance and proportional reinsurance</t>
  </si>
  <si>
    <t>Other motor insurance and proportional reinsurance</t>
  </si>
  <si>
    <t>Marine, aviation and transport insurance and proportional reinsurance</t>
  </si>
  <si>
    <t>Fire and other damage to property insurance and proportional reinsurance</t>
  </si>
  <si>
    <t>General liability insurance and proportional reinsurance</t>
  </si>
  <si>
    <t>Credit and suretyship insurance and proportional reinsurance</t>
  </si>
  <si>
    <t>Legal expenses insurance and proportional reinsurance</t>
  </si>
  <si>
    <t>Assistance and proportional reinsurance</t>
  </si>
  <si>
    <t>Miscellaneous financial loss insurance and proportional reinsurance</t>
  </si>
  <si>
    <t>S.28.01.01.03 - Linear formula component for life insurance and reinsurance obligations</t>
  </si>
  <si>
    <t>MCRL Result</t>
  </si>
  <si>
    <t>S.28.01.01.04 - Total capital at risk for all life (re)insurance obligations</t>
  </si>
  <si>
    <t>Net (of reinsurance/SPV) total capital at risk</t>
  </si>
  <si>
    <t>Obligations with profit participation - guaranteed benefits</t>
  </si>
  <si>
    <t>Obligations with profit participation - future discretionary benefits</t>
  </si>
  <si>
    <t>Index-linked and unit-linked insurance obligations</t>
  </si>
  <si>
    <t>Other life (re)insurance and health (re)insurance obligations</t>
  </si>
  <si>
    <t>Total capital at risk for all life (re)insurance obligations</t>
  </si>
  <si>
    <t>S.28.01.01.05 - Overall MCR calculation</t>
  </si>
  <si>
    <t>Linear MCR</t>
  </si>
  <si>
    <t>MCR cap</t>
  </si>
  <si>
    <t>MCR floor</t>
  </si>
  <si>
    <t>Combined MCR</t>
  </si>
  <si>
    <t>Absolute floor of the MCR</t>
  </si>
  <si>
    <t>S.28.02.01.01 - MCR components</t>
  </si>
  <si>
    <t>Non-life activities</t>
  </si>
  <si>
    <t>MCR(NL, NL) Result</t>
  </si>
  <si>
    <t>Life activities</t>
  </si>
  <si>
    <t>MCR(NL, L)Result</t>
  </si>
  <si>
    <t>Linear formula component for non-life insurance and reinsurance obligations</t>
  </si>
  <si>
    <t>S.28.02.01.02 - Background information</t>
  </si>
  <si>
    <t>Net (of reinsurance/ SPV) best estimate and TP calculated as a whole</t>
  </si>
  <si>
    <t>S.28.02.01.03 - Linear formula component for life insurance and reinsurance obligations</t>
  </si>
  <si>
    <t>MCR(L, NL) Result</t>
  </si>
  <si>
    <t>MCR(L, L) Result</t>
  </si>
  <si>
    <t>Linear formula component for life insurance and reinsurance obligations</t>
  </si>
  <si>
    <t>S.28.02.01.04 - Total capital at risk for all life (re)insurance obligations</t>
  </si>
  <si>
    <t>S.28.02.01.05 - Overall MCR calculation</t>
  </si>
  <si>
    <t>S.28.02.01.06 - Notional non-life and life MCR calculation</t>
  </si>
  <si>
    <t>Notional linear MCR</t>
  </si>
  <si>
    <t>Notional SCR excluding add-on (annual or latest calculation)</t>
  </si>
  <si>
    <t>Notional MCR cap</t>
  </si>
  <si>
    <t>Notional MCR floor</t>
  </si>
  <si>
    <t>Notional Combined MCR</t>
  </si>
  <si>
    <t>Absolute floor of the notional MCR</t>
  </si>
  <si>
    <t>Notional MCR</t>
  </si>
  <si>
    <t>S.29.01.01.01 - Reconciliation with Own funds - Items reported in "Own funds"</t>
  </si>
  <si>
    <t>Year N</t>
  </si>
  <si>
    <t>Year N-1</t>
  </si>
  <si>
    <t>Variation</t>
  </si>
  <si>
    <t>Reconciliation reserve before deduction for participations</t>
  </si>
  <si>
    <t>Variation of total BOF items before adjustments</t>
  </si>
  <si>
    <t>S.29.01.01.02 - Variation of components of reconciliation reserve - Items reported in "Own funds"</t>
  </si>
  <si>
    <t>Variation of components of reconciliation reserve - Items reported in "Own funds"</t>
  </si>
  <si>
    <t>Excess of assets over liabilities (Variations of BOF explained by Variation Analysis Templates)</t>
  </si>
  <si>
    <t>Own shares</t>
  </si>
  <si>
    <t>Restricted own fund items due to ring fencing and matching</t>
  </si>
  <si>
    <t>Total variation of Reconciliation Reserve</t>
  </si>
  <si>
    <t>Summary Analysis of Variation of Excess of Assets over Liabilities</t>
  </si>
  <si>
    <t>Variations due to investments and financial liabilities</t>
  </si>
  <si>
    <t>Variations due to net technical provisions</t>
  </si>
  <si>
    <t>Variations in capital basic own fund items and other items approved</t>
  </si>
  <si>
    <t>Variation in Deferred Tax position</t>
  </si>
  <si>
    <t>Income Tax of the reporting period</t>
  </si>
  <si>
    <t>Dividend distribution</t>
  </si>
  <si>
    <t>Other variations in Excess of Assets over Liabilities</t>
  </si>
  <si>
    <t>S.29.01.07.01 - Reconciliation with Own funds - Items reported in "Own funds"</t>
  </si>
  <si>
    <t>S.29.02.01.01 - Excess of Assets over Liabilities - explained by investments and financial liabilities</t>
  </si>
  <si>
    <t>Of which movements in valuation with an impact on Excess of Assets over Liabilities</t>
  </si>
  <si>
    <t>Valuation movements on investments</t>
  </si>
  <si>
    <t>Valuation movements on own shares</t>
  </si>
  <si>
    <t>Valuation movements on financial liabilities and subordinated liabilities</t>
  </si>
  <si>
    <t>Of which Investments revenues and expenses with an impact on Excess of Assets over Liabilities</t>
  </si>
  <si>
    <t>Investment revenues</t>
  </si>
  <si>
    <t>Investments expenses incl. Interest charges on subordinated and financial liabilities</t>
  </si>
  <si>
    <t>Variation in Excess of Assets over Liabilities explained by Investments and financial liabilities management</t>
  </si>
  <si>
    <t>Detail of Investment revenues</t>
  </si>
  <si>
    <t>Interests</t>
  </si>
  <si>
    <t>Rents</t>
  </si>
  <si>
    <t>S.29.03.01.01 - Excess of Assets over Liabilities - explained by technical provisions</t>
  </si>
  <si>
    <t>LIFE - Gross of reinsurance</t>
  </si>
  <si>
    <t>NON LIFE - Gross of reinsurance</t>
  </si>
  <si>
    <t>Opening Best Estimate</t>
  </si>
  <si>
    <t>Exceptional elements triggering restating of opening Best Estimate</t>
  </si>
  <si>
    <t>Changes in perimeter</t>
  </si>
  <si>
    <t>Foreign exchange variation</t>
  </si>
  <si>
    <t>Best Estimate on risk accepted during the period</t>
  </si>
  <si>
    <t>Variation of Best Estimate due to unwinding of discount rate - risks accepted prior to period</t>
  </si>
  <si>
    <t>Variation of Best Estimate due to year N projected in and out flows - risks accepted prior to period</t>
  </si>
  <si>
    <t>Variation of Best Estimate due to experience - risks accepted prior to period</t>
  </si>
  <si>
    <t>Variation of Best Estimate due to changes in non economic assumptions - risks accepted prior to period</t>
  </si>
  <si>
    <t>Variation of Best Estimate due to changes in economic environment - risks accepted prior to period</t>
  </si>
  <si>
    <t>Other changes not elsewhere explained</t>
  </si>
  <si>
    <t>Closing Best Estimate</t>
  </si>
  <si>
    <t>S.29.03.01.02 - Reinsurance recoverables - opening and closing BE [UWY]</t>
  </si>
  <si>
    <t>LIFE - Reinsurance recoverables</t>
  </si>
  <si>
    <t>NON LIFE - Reinsurance recoverables</t>
  </si>
  <si>
    <t>S.29.03.01.03 - Analysis of movements affecting Excess of Assets over Liabilities</t>
  </si>
  <si>
    <t>Variation of Best Estimate on risk covered after the period</t>
  </si>
  <si>
    <t>Variation of Best Estimate on risks covered during the period</t>
  </si>
  <si>
    <t>Variation of Best Estimate due to unwinding of discount rate - risks covered prior to period</t>
  </si>
  <si>
    <t>Variation of Best Estimate due to year N projected in and out flows - risks covered prior to period</t>
  </si>
  <si>
    <t>Variation of Best Estimate due to experience and other sources - risks covered prior to period</t>
  </si>
  <si>
    <t>Variation of Best Estimate due to changes in non economic assumptions - risks covered prior to period</t>
  </si>
  <si>
    <t>Variation of Best Estimate due to changes in economic environment - risks covered prior to period</t>
  </si>
  <si>
    <t>S.29.03.01.04 - Reinsurance recoverables - opening and closing BE [AY]</t>
  </si>
  <si>
    <t>S.29.03.01.05 - Analysis of movements affecting Excess of Assets over Liabilities</t>
  </si>
  <si>
    <t>LIFE</t>
  </si>
  <si>
    <t>Net variation for index-linked and unit-linked business</t>
  </si>
  <si>
    <t>S.29.03.01.06 - Technical flows affecting Technical provisions</t>
  </si>
  <si>
    <t>NON LIFE</t>
  </si>
  <si>
    <t>Premiums written during the period</t>
  </si>
  <si>
    <t>Claims and Benefits during the period, net of salvages and subrogations</t>
  </si>
  <si>
    <t>Expenses (excluding Investment expenses)</t>
  </si>
  <si>
    <t>Total technical flows on gross technical provisions</t>
  </si>
  <si>
    <t>Technical flows related to reinsurance during the period (recoverables received net of premiums paid)</t>
  </si>
  <si>
    <t>S.29.03.01.07 - Variation in Excess of Assets over Liabilities explained by Technical provisions</t>
  </si>
  <si>
    <t>Gross Technical Provisions</t>
  </si>
  <si>
    <t>S.29.04.01.01 - Detailed analysis per period - Technical flows versus Technical provisions - UWY</t>
  </si>
  <si>
    <t>Risks accepted during period</t>
  </si>
  <si>
    <t>Risks accepted prior to period</t>
  </si>
  <si>
    <t>Written premiums underwritten during period</t>
  </si>
  <si>
    <t>Claims and benefits - net of salvages and subrogations recovered</t>
  </si>
  <si>
    <t>Expenses (related to insurance and reinsurance obligations)</t>
  </si>
  <si>
    <t>Variation of Best Estimate</t>
  </si>
  <si>
    <t>Variation of TP as a whole</t>
  </si>
  <si>
    <t>S.29.04.01.02 - Detailed analysis per period - Technical flows versus Technical provisions - AY</t>
  </si>
  <si>
    <t>Risks covered after the period</t>
  </si>
  <si>
    <t>Risks covered during the period</t>
  </si>
  <si>
    <t>Risks covered prior to period</t>
  </si>
  <si>
    <t>Variation of BE</t>
  </si>
  <si>
    <t>S.30.01.01.01 - Facultative covers non-life (10 most important risks in terms of reinsured exposure)</t>
  </si>
  <si>
    <t>Reinsurance program code</t>
  </si>
  <si>
    <t>Facultative reinsurance placement identification code</t>
  </si>
  <si>
    <t>Finite reinsurance or similar arrangements</t>
  </si>
  <si>
    <t>Identification of the company/person to which the risk relates</t>
  </si>
  <si>
    <t>Facultative reinsurance premium ceded to all reinsurers for 100% of the reinsurance placement</t>
  </si>
  <si>
    <t>Facultative reinsurance commission</t>
  </si>
  <si>
    <t>S.30.01.01.02 - Facultative covers life (10 most important risks in terms of reinsured exposure)</t>
  </si>
  <si>
    <t>Sum Insured</t>
  </si>
  <si>
    <t>S.30.02.01.01 - Facultative covers non-life (10 most important risks in terms of reinsured exposure)</t>
  </si>
  <si>
    <t>Code and type of code of the reinsurer</t>
  </si>
  <si>
    <t>Code and type of code of the broker</t>
  </si>
  <si>
    <t>Activity code broker</t>
  </si>
  <si>
    <t>Share reinsurer (%)</t>
  </si>
  <si>
    <t>Sum reinsured to facultative reinsurer</t>
  </si>
  <si>
    <t>Facultative ceded reinsurance premium</t>
  </si>
  <si>
    <t>Annotations</t>
  </si>
  <si>
    <t>S.30.02.01.02 - Facultative covers life (10 most important risks in terms of reinsured exposure)</t>
  </si>
  <si>
    <t>S.30.02.01.03 - Reinsurer-specific information</t>
  </si>
  <si>
    <t>Legal name reinsurer</t>
  </si>
  <si>
    <t>Type of reinsurer</t>
  </si>
  <si>
    <t>Country of residency</t>
  </si>
  <si>
    <t>External rating assessment by nominated ECAI</t>
  </si>
  <si>
    <t>S.30.02.01.04 - Broker-specific information</t>
  </si>
  <si>
    <t>Legal name broker</t>
  </si>
  <si>
    <t>S.30.03.01.01 - Outgoing Reinsurance Program basic data</t>
  </si>
  <si>
    <t>Treaty identification code</t>
  </si>
  <si>
    <t>Progressive section number in treaty</t>
  </si>
  <si>
    <t>Progressive number of surplus/layer in program</t>
  </si>
  <si>
    <t>Quantity of surplus/layers in program</t>
  </si>
  <si>
    <t>Type of reinsurance treaty</t>
  </si>
  <si>
    <t>Inclusion of catastrophic reinsurance cover</t>
  </si>
  <si>
    <t>Estimated Subject Premium income (XL-ESPI)</t>
  </si>
  <si>
    <t>Gross Estimated Treaty Premium Income (proportional and non proportional)</t>
  </si>
  <si>
    <t>Aggregate deductibles (amount)</t>
  </si>
  <si>
    <t>Aggregate deductibles (%)</t>
  </si>
  <si>
    <t>Retention or priority (amount)</t>
  </si>
  <si>
    <t>Retention or priority (%)</t>
  </si>
  <si>
    <t>Limit (amount)</t>
  </si>
  <si>
    <t>Limit (%)</t>
  </si>
  <si>
    <t>Maximum cover per risk or event</t>
  </si>
  <si>
    <t>Maximum cover per treaty</t>
  </si>
  <si>
    <t>Number of reinstatements</t>
  </si>
  <si>
    <t>Descriptions of reinstatements</t>
  </si>
  <si>
    <t>Maximum Reinsurance Commission</t>
  </si>
  <si>
    <t>Minimum Reinsurance Commission</t>
  </si>
  <si>
    <t>Expected Reinsurance Commission</t>
  </si>
  <si>
    <t>Maximum Overriding Commission</t>
  </si>
  <si>
    <t>Minimum Overriding Commission</t>
  </si>
  <si>
    <t>Expected Overriding Commission</t>
  </si>
  <si>
    <t>Maximum profit commission</t>
  </si>
  <si>
    <t>Minimum Profit Commission</t>
  </si>
  <si>
    <t>Expected Profit Commission</t>
  </si>
  <si>
    <t>XL rate 1</t>
  </si>
  <si>
    <t>XL rate 2</t>
  </si>
  <si>
    <t>XL premium flat</t>
  </si>
  <si>
    <t>S.30.04.01.01 - Outgoing Reinsurance Program shares data</t>
  </si>
  <si>
    <t>Code and type of code of collateral provider (if applicable)</t>
  </si>
  <si>
    <t>Exposure ceded for reinsurer's share (amount)</t>
  </si>
  <si>
    <t>Type of collateral (if applicable)</t>
  </si>
  <si>
    <t>Description of the reinsurers limit collateralised</t>
  </si>
  <si>
    <t>Estimated outgoing reinsurance premium for reinsurer's share</t>
  </si>
  <si>
    <t>Collateral provider name (if applicable)</t>
  </si>
  <si>
    <t>S.30.04.01.02 - Information on reinsurers</t>
  </si>
  <si>
    <t>S.30.04.01.03 - Broker-specific information</t>
  </si>
  <si>
    <t>S.31.01.01.01 - Share of reinsurers</t>
  </si>
  <si>
    <t>Reinsurance recoverables: Premium provision Non-life including Non-SLT Health</t>
  </si>
  <si>
    <t>Reinsurance recoverables: Claims provisions Non-life including Non-SLT Health</t>
  </si>
  <si>
    <t>Reinsurance recoverables: Technical provisions Life including SLT Health</t>
  </si>
  <si>
    <t>Adjustment for expected losses due to counterparty default</t>
  </si>
  <si>
    <t>Reinsurance recoverables: Total reinsurance recoverables</t>
  </si>
  <si>
    <t>Net receivables</t>
  </si>
  <si>
    <t>Assets pledged by reinsurer</t>
  </si>
  <si>
    <t>Financial guarantees</t>
  </si>
  <si>
    <t>Cash deposits</t>
  </si>
  <si>
    <t>Total guarantees received</t>
  </si>
  <si>
    <t>S.31.01.01.02 - Information on reinsurers</t>
  </si>
  <si>
    <t>S.31.01.04.01 - Share of reinsurers</t>
  </si>
  <si>
    <t>Legal name of reinsured undertaking</t>
  </si>
  <si>
    <t>S.31.01.04.02 - Information on reinsurers</t>
  </si>
  <si>
    <t>S.31.02.01.01 - Special Purpose Vehicles</t>
  </si>
  <si>
    <t>Internal code and type of code of the SPV</t>
  </si>
  <si>
    <t>ID Code and type of code of SPV notes or other financing mechanism issued</t>
  </si>
  <si>
    <t>Lines of Business SPV securitisation relates</t>
  </si>
  <si>
    <t>Type of Trigger(s) in the SPV</t>
  </si>
  <si>
    <t>Contractual trigger event</t>
  </si>
  <si>
    <t>Same trigger as in underlying cedant's portfolio?</t>
  </si>
  <si>
    <t>Basis risk arising from risk-transfer structure</t>
  </si>
  <si>
    <t>Basis risk arising from contractual terms</t>
  </si>
  <si>
    <t>SPV assets ring-fenced to settle cedant-specific obligations</t>
  </si>
  <si>
    <t>Other non cedant-specific SPV Assets for which recourse may exist</t>
  </si>
  <si>
    <t>Other recourse arising from securitisation</t>
  </si>
  <si>
    <t>Total maximum possible obligations from SPV under reinsurance policy</t>
  </si>
  <si>
    <t>SPV fully funded in relation to cedant obligations throughout the reporting period</t>
  </si>
  <si>
    <t>Current recoverables from SPV</t>
  </si>
  <si>
    <t>Identification of material investments held by cedant in SPV</t>
  </si>
  <si>
    <t>Securitisation assets related to cedant held in trust with other third party than cedant / sponsor?</t>
  </si>
  <si>
    <t>S.31.02.01.02 - Information on SPV</t>
  </si>
  <si>
    <t>Legal nature of SPV</t>
  </si>
  <si>
    <t>Name of SPV</t>
  </si>
  <si>
    <t>Incorporation no. of SPV</t>
  </si>
  <si>
    <t>SPV country of authorisation</t>
  </si>
  <si>
    <t>SPV authorisation conditions</t>
  </si>
  <si>
    <t>S.31.02.04.01 - Special Purpose Vehicles</t>
  </si>
  <si>
    <t>S.31.02.04.02 - Information on SPV</t>
  </si>
  <si>
    <t>S.32.01.04.01 - Undertakings in the scope of the group</t>
  </si>
  <si>
    <t>Legal Name of the undertaking</t>
  </si>
  <si>
    <t>Legal form</t>
  </si>
  <si>
    <t>Category (mutual/non mutual)</t>
  </si>
  <si>
    <t>Supervisory Authority</t>
  </si>
  <si>
    <t>Ranking criteria (in the group currency)</t>
  </si>
  <si>
    <t>Total Balance Sheet (for (re)insurance undertakings)</t>
  </si>
  <si>
    <t>Total Balance Sheet (for other regulated undertakings)</t>
  </si>
  <si>
    <t>Total Balance Sheet (non-regulated undertakings)</t>
  </si>
  <si>
    <t>Written premiums net of reinsurance ceded under IFRS or local GAAP for (re)insurance undertakings</t>
  </si>
  <si>
    <t>Turn over defined as the gross revenue under IFRS or local GAAP for other types of undertakings or insurance holding companies</t>
  </si>
  <si>
    <t>Underwriting performance</t>
  </si>
  <si>
    <t>Investment performance</t>
  </si>
  <si>
    <t>Total performance</t>
  </si>
  <si>
    <t>Accounting standard</t>
  </si>
  <si>
    <t>Criteria of influence</t>
  </si>
  <si>
    <t>% capital share</t>
  </si>
  <si>
    <t>% used for the establishment of consolidated accounts</t>
  </si>
  <si>
    <t>% voting rights</t>
  </si>
  <si>
    <t>Other criteria</t>
  </si>
  <si>
    <t>Level of influence</t>
  </si>
  <si>
    <t>Proportional share used for group solvency calculation</t>
  </si>
  <si>
    <t>Inclusion in the scope of Group supervision</t>
  </si>
  <si>
    <t>Date of decision if art. 214 is applied</t>
  </si>
  <si>
    <t>Group solvency calculation</t>
  </si>
  <si>
    <t>Method used and under method 1, treatment of the undertaking</t>
  </si>
  <si>
    <t>S.32.01.22.01 - Undertakings in the scope of the group</t>
  </si>
  <si>
    <t>S.33.01.04.01 - Insurance and Reinsurance individual requirements</t>
  </si>
  <si>
    <t>Entity Level/RFF or MAP/ Remaining Part</t>
  </si>
  <si>
    <t>Fund Number</t>
  </si>
  <si>
    <t>EEA and non EEA insurance and reinsurance undertakings (using SII rules) included only via D&amp;A</t>
  </si>
  <si>
    <t>SCR Market Risk</t>
  </si>
  <si>
    <t>SCR Counterparty Default Risk</t>
  </si>
  <si>
    <t>SCR Life Underwriting Risk</t>
  </si>
  <si>
    <t>SCR Health Underwriting Risk</t>
  </si>
  <si>
    <t>SCR Non-life Underwriting Risk</t>
  </si>
  <si>
    <t>SCR Operational Risk</t>
  </si>
  <si>
    <t>Individual SCR</t>
  </si>
  <si>
    <t>Individual MCR</t>
  </si>
  <si>
    <t>Eligible Individual Own Funds to cover the SCR</t>
  </si>
  <si>
    <t>Standard Formula used</t>
  </si>
  <si>
    <t>Use of simplifications</t>
  </si>
  <si>
    <t>Use of Partial Internal Model</t>
  </si>
  <si>
    <t>Group or individual Internal Model Used</t>
  </si>
  <si>
    <t>Group or individual internal model</t>
  </si>
  <si>
    <t>Date of initial approval of IM</t>
  </si>
  <si>
    <t>Date of approval of latest major change of IM</t>
  </si>
  <si>
    <t>Individual Capital Add-On</t>
  </si>
  <si>
    <t>Date of decision of capital add-on</t>
  </si>
  <si>
    <t>Amount of capital add-on</t>
  </si>
  <si>
    <t>Reason of capital add-on</t>
  </si>
  <si>
    <t>Non EEA insurance and reinsurance undertakings (both using SII rules and not using SII rules) regardless of the method used</t>
  </si>
  <si>
    <t>Local capital requirement</t>
  </si>
  <si>
    <t>Local minimum capital requirement</t>
  </si>
  <si>
    <t>Eligible own funds in accordance with local rules</t>
  </si>
  <si>
    <t>S.34.01.04.01 - Other regulated and non-regulated financial undertakings including insurance holding companies and mixed financial holding company individual requirements</t>
  </si>
  <si>
    <t>Aggregated or not</t>
  </si>
  <si>
    <t>Type of capital requirement</t>
  </si>
  <si>
    <t>Notional SCR or Sectoral capital requirement</t>
  </si>
  <si>
    <t>Notional MCR or Sectoral minimum capital requirement</t>
  </si>
  <si>
    <t>Notional or Sectoral Eligible Own Funds</t>
  </si>
  <si>
    <t>S.35.01.04.01 - Contribution to group Technical Provisions</t>
  </si>
  <si>
    <t>Method of group solvency calculation used</t>
  </si>
  <si>
    <t>Total amount of TP</t>
  </si>
  <si>
    <t>Amount of TP gross of IGT</t>
  </si>
  <si>
    <t>Amount of TP net of IGT</t>
  </si>
  <si>
    <t>Technical Provisions - Non-Life (excluding Health)</t>
  </si>
  <si>
    <t>Net contribution to Group TP (%)</t>
  </si>
  <si>
    <t>Technical Provisions - Health (similar to non-life)</t>
  </si>
  <si>
    <t>Technical Provisions - Health (similar to life)</t>
  </si>
  <si>
    <t>Technical Provisions - Life (excluding health and index-linked and unit-linked)</t>
  </si>
  <si>
    <t>Technical Provisions - Index-linked and unit-linked insurance</t>
  </si>
  <si>
    <t>Transitional on Technical Provisions</t>
  </si>
  <si>
    <t>LTG measures and transitionals - Technical Provisions subject to Transitional on Risk Free Rate</t>
  </si>
  <si>
    <t>LTG measures and transitionals - Technical Provisions subject to Volatility Adjustment</t>
  </si>
  <si>
    <t>LTG measures and transitionals - Technical Provisions subject to Matching Adjustment</t>
  </si>
  <si>
    <t>S.36.01.01.01 - IGT - Equity-type transactions, debt and asset transfer</t>
  </si>
  <si>
    <t>ID of intragroup transaction</t>
  </si>
  <si>
    <t>ID code and type of code of the instrument</t>
  </si>
  <si>
    <t>Identification code and type of code for investor/ lender</t>
  </si>
  <si>
    <t>Identification code and type of code for issuer / borrower</t>
  </si>
  <si>
    <t>Investor/ lender name</t>
  </si>
  <si>
    <t>Issuer/ borrower name</t>
  </si>
  <si>
    <t>Transaction type</t>
  </si>
  <si>
    <t>Transaction Issue date</t>
  </si>
  <si>
    <t>Maturity date of transaction</t>
  </si>
  <si>
    <t>Currency of transaction</t>
  </si>
  <si>
    <t>Contractual amount of transaction/ Transaction price</t>
  </si>
  <si>
    <t>Value of collateral/ asset</t>
  </si>
  <si>
    <t>Amount of redemptions/ prepayments/ paybacks during reporting period</t>
  </si>
  <si>
    <t>Amount of dividends/ interest/ coupon and other payments made during reporting period</t>
  </si>
  <si>
    <t>Balance of contractual amount of transaction at reporting date</t>
  </si>
  <si>
    <t>Coupon/ Interest rate</t>
  </si>
  <si>
    <t>S.36.02.01.01 - IGT - Derivatives</t>
  </si>
  <si>
    <t>Identification code and type of code of investor / buyer</t>
  </si>
  <si>
    <t>Identification code and type of code of the issuer / seller</t>
  </si>
  <si>
    <t>Investor/ Buyer</t>
  </si>
  <si>
    <t>Issuer/ Seller name</t>
  </si>
  <si>
    <t>Transaction Trade date</t>
  </si>
  <si>
    <t>Notional amount at transaction date</t>
  </si>
  <si>
    <t>Notional amount at reporting date</t>
  </si>
  <si>
    <t>Value of collateral</t>
  </si>
  <si>
    <t>Options, futures, forwards and other derivatives</t>
  </si>
  <si>
    <t>Use of derivatives (by buyer)</t>
  </si>
  <si>
    <t>Identification code and type of code Asset / Liability underlying the derivative</t>
  </si>
  <si>
    <t>Credit protection - CDS and Guarantees</t>
  </si>
  <si>
    <t>Counterparty name for which credit protection is purchased</t>
  </si>
  <si>
    <t>Swap delivered interest rate (for buyer)</t>
  </si>
  <si>
    <t>Swap received interest rate (for buyer)</t>
  </si>
  <si>
    <t>Swap delivered currency (for buyer)</t>
  </si>
  <si>
    <t>Swap received currency (for buyer)</t>
  </si>
  <si>
    <t>S.36.03.01.01 - IGT - Internal reinsurance</t>
  </si>
  <si>
    <t>Identification code and type of code of cedent</t>
  </si>
  <si>
    <t>Identification code and type of code of reinsurer</t>
  </si>
  <si>
    <t>Name of cedent</t>
  </si>
  <si>
    <t>Name of reinsurer</t>
  </si>
  <si>
    <t>Currency of contract/treaty</t>
  </si>
  <si>
    <t>Type of reinsurance contract/treaty</t>
  </si>
  <si>
    <t>Maximum cover by reinsurer under contract/treaty</t>
  </si>
  <si>
    <t>Net Receivables</t>
  </si>
  <si>
    <t>Total reinsurance recoverables</t>
  </si>
  <si>
    <t>Reinsurance result (for reinsured entity)</t>
  </si>
  <si>
    <t>S.36.04.01.01 - IGT - Cost Sharing, contingent liabilities, off BS and other items</t>
  </si>
  <si>
    <t>Identification code and type of code of the Investor/ Buyer/ Beneficiary</t>
  </si>
  <si>
    <t>Identification code and type of code of the Issuer/ Seller/ Provider</t>
  </si>
  <si>
    <t>Investor/ Buyer/ Beneficiary name</t>
  </si>
  <si>
    <t>Issuer/ Seller/ Provider name</t>
  </si>
  <si>
    <t>Effective date of agreement/ contract underlying transaction</t>
  </si>
  <si>
    <t>Expiry date of agreement/ contract underlying transaction</t>
  </si>
  <si>
    <t>Trigger event</t>
  </si>
  <si>
    <t>Value of transaction/ collateral / Guarantee</t>
  </si>
  <si>
    <t>Maximum possible value of contingent liabilities</t>
  </si>
  <si>
    <t>Maximum possible value of contingent liabilities not included in Solvency II Balance Sheet</t>
  </si>
  <si>
    <t>Maximum value of letters of credit/ guarantees</t>
  </si>
  <si>
    <t>Value of guaranteed assets</t>
  </si>
  <si>
    <t>S.37.01.04.01 - Risk concentration</t>
  </si>
  <si>
    <t>Identification code and type of code of the counterparty of the group</t>
  </si>
  <si>
    <t>Identification code and type of code of the group entity</t>
  </si>
  <si>
    <t>Identification code and type of code of the exposure</t>
  </si>
  <si>
    <t>Name of the external counterparty</t>
  </si>
  <si>
    <t>Country of the exposure</t>
  </si>
  <si>
    <t>Nature of the exposure</t>
  </si>
  <si>
    <t>External Rating</t>
  </si>
  <si>
    <t>C0091</t>
  </si>
  <si>
    <t>Sector</t>
  </si>
  <si>
    <t>Group entity subject to the exposure</t>
  </si>
  <si>
    <t>Maturity (asset side)/ Validity (liability side)</t>
  </si>
  <si>
    <t>Value of the exposure</t>
  </si>
  <si>
    <t>Maximum amount to be paid by the reinsurer</t>
  </si>
  <si>
    <t>S.38.01.10.01 - Duration of technical provisions</t>
  </si>
  <si>
    <t>Duration of technical provisions, Life excluding unit-linked</t>
  </si>
  <si>
    <t>Duration of technical provisions, Non-Life</t>
  </si>
  <si>
    <t>S.39.01.11.01 - Profit and Loss</t>
  </si>
  <si>
    <t>Statutory Accounting: Profit &amp; Loss</t>
  </si>
  <si>
    <t>S.40.01.10.01 - Profit or Loss sharing</t>
  </si>
  <si>
    <t>Discretionary benefits (profit or loss sharing) allocated to policyholders</t>
  </si>
  <si>
    <t>S.41.01.11.01 - Lapses</t>
  </si>
  <si>
    <t>Lapse/surrender rate contracts</t>
  </si>
  <si>
    <t>Lapse/surrender rate volume</t>
  </si>
  <si>
    <t>E.01.01.16.01 - Deposits to cedants - line-by-line reporting</t>
  </si>
  <si>
    <t>Line identification code</t>
  </si>
  <si>
    <t>EC0010</t>
  </si>
  <si>
    <t>Issuer country</t>
  </si>
  <si>
    <t>EC0020</t>
  </si>
  <si>
    <t>EC0030</t>
  </si>
  <si>
    <t>EC0040</t>
  </si>
  <si>
    <t>EC0050</t>
  </si>
  <si>
    <t>EC0060</t>
  </si>
  <si>
    <t>E.02.01.16.01 - Pension entitlements</t>
  </si>
  <si>
    <t>Gross TP as a whole and Gross Best Estimate</t>
  </si>
  <si>
    <t>ER0010</t>
  </si>
  <si>
    <t>of which: Pillar II pension entitlements</t>
  </si>
  <si>
    <t>ER0020</t>
  </si>
  <si>
    <t>Pillar II defined benefit pension entitlements</t>
  </si>
  <si>
    <t>Pillar II defined contribution pension entitlements</t>
  </si>
  <si>
    <t>ER0040</t>
  </si>
  <si>
    <t>Pillar II hybrid pension entitlements</t>
  </si>
  <si>
    <t>ER0050</t>
  </si>
  <si>
    <t>E.03.01.16.01 - Non-life Technical Provisions - reinsurance policies - Geographical zone</t>
  </si>
  <si>
    <t>E.03.01.16.02 - Non-life Technical Provisions - reinsurance policies - By country</t>
  </si>
  <si>
    <t>SPV.01.01.20.01 - Content of the submission</t>
  </si>
  <si>
    <t>SPV.01.02.20 - Basic Information</t>
  </si>
  <si>
    <t>SPV.02.01.20 - Balance sheet</t>
  </si>
  <si>
    <t>SPV.02.02.20 - Off-balance sheet</t>
  </si>
  <si>
    <t>SPV.03.01.20 - Risks assumed</t>
  </si>
  <si>
    <t>SPV.03.02.20 - Debt or other financing mechanism</t>
  </si>
  <si>
    <t>SPV.01.02.20.01 - Basic information - General</t>
  </si>
  <si>
    <t>Name of reporting special purpose vehicle</t>
  </si>
  <si>
    <t>Identification code and type of code</t>
  </si>
  <si>
    <t>Home-country of the special purpose vehicle</t>
  </si>
  <si>
    <t>Reporting date</t>
  </si>
  <si>
    <t>Reference date</t>
  </si>
  <si>
    <t>Risks assumed through separate arrangements</t>
  </si>
  <si>
    <t>Compliance with fully funded requirement throughout the reporting period</t>
  </si>
  <si>
    <t>SPV.02.01.20.01 - Balance sheet</t>
  </si>
  <si>
    <t>Deposits and loans claims</t>
  </si>
  <si>
    <t>Securitised loans</t>
  </si>
  <si>
    <t>Debt securities</t>
  </si>
  <si>
    <t>Other securitised assets</t>
  </si>
  <si>
    <t>Equity and collective investment units</t>
  </si>
  <si>
    <t>Financial derivatives</t>
  </si>
  <si>
    <t>Non-financial assets (including fixed assets)</t>
  </si>
  <si>
    <t>Total of other material classes of assets</t>
  </si>
  <si>
    <t>Remaining assets</t>
  </si>
  <si>
    <t>Loans and deposits received</t>
  </si>
  <si>
    <t>Debt securities issued</t>
  </si>
  <si>
    <t>Total of other material classes of liabilities</t>
  </si>
  <si>
    <t>Remaining liabilities</t>
  </si>
  <si>
    <t>Total Liabilities</t>
  </si>
  <si>
    <t>Total Equity</t>
  </si>
  <si>
    <t>SPV.02.01.20.02 - Description of items</t>
  </si>
  <si>
    <t>Other material classes of assets</t>
  </si>
  <si>
    <t>SPV.02.01.20.03 - Description of items</t>
  </si>
  <si>
    <t>Other material classes of liabilities</t>
  </si>
  <si>
    <t>SPV.02.01.20.04 - Description of items</t>
  </si>
  <si>
    <t>Material Equity item</t>
  </si>
  <si>
    <t>SPV.02.02.20.01 - Off-balance sheet items and obligations</t>
  </si>
  <si>
    <t>Accounting value</t>
  </si>
  <si>
    <t>Off-balance sheet items</t>
  </si>
  <si>
    <t>Guarantees received by the special purpose vehicle directly</t>
  </si>
  <si>
    <t>Total of other off-balance sheet item</t>
  </si>
  <si>
    <t>Off-balance sheet obligations</t>
  </si>
  <si>
    <t>Total of other off-balance sheet obligation</t>
  </si>
  <si>
    <t>SPV.02.02.20.02 - Off-balance sheet items. Description of items</t>
  </si>
  <si>
    <t>Off-balance sheet item</t>
  </si>
  <si>
    <t>SPV.02.02.20.03 - Off-balance sheet obligations. Description of items</t>
  </si>
  <si>
    <t>Off-balance sheet obligation</t>
  </si>
  <si>
    <t>SPV.03.01.20.01 - Assets held for separable risk</t>
  </si>
  <si>
    <t>Aggregate maximum risk exposure per arrangement</t>
  </si>
  <si>
    <t>Assets held for separable risk</t>
  </si>
  <si>
    <t>SPV.03.01.20.02 - Arrangements</t>
  </si>
  <si>
    <t>Arrangement</t>
  </si>
  <si>
    <t>Date of issuance</t>
  </si>
  <si>
    <t>Issues / uses commenced prior to implementation of Directive 2009/138/EC</t>
  </si>
  <si>
    <t>Name of cedant</t>
  </si>
  <si>
    <t>Cedant code and type of code</t>
  </si>
  <si>
    <t>Compliance with the fully funded requirement for the arrangement throughout the reporting period</t>
  </si>
  <si>
    <t>SPV.03.02.20.01 - Amount of the debt or other financing mechanism issued for arrangement</t>
  </si>
  <si>
    <t>Amount of the debt or other financing mechanism issued for arrangement</t>
  </si>
  <si>
    <t>SPV.03.02.20.02 - Arrangements</t>
  </si>
  <si>
    <t>Description of the debt or other financing mechanism issued for arrangement</t>
  </si>
  <si>
    <t>T.99.01.01.01 - Technical table</t>
  </si>
  <si>
    <t>Table</t>
  </si>
  <si>
    <t>X axis</t>
  </si>
  <si>
    <t>Y axis</t>
  </si>
  <si>
    <t>Z axis</t>
  </si>
  <si>
    <t>Comment</t>
  </si>
  <si>
    <t>Monetary</t>
  </si>
  <si>
    <t>String</t>
  </si>
  <si>
    <t>Date</t>
  </si>
  <si>
    <t>Integer</t>
  </si>
  <si>
    <t>Decimal</t>
  </si>
  <si>
    <t>Pure</t>
  </si>
  <si>
    <t>Boolean</t>
  </si>
  <si>
    <t>2.6.0.1</t>
  </si>
  <si>
    <t>0451406524</t>
  </si>
  <si>
    <t>One Gate</t>
  </si>
  <si>
    <t>ann.rombaut@ageas.com</t>
  </si>
  <si>
    <t>KBO</t>
  </si>
  <si>
    <t>INS</t>
  </si>
  <si>
    <t>Not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</si>
</sst>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0">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0" tint="-4.9989318521683403E-2"/>
      <name val="Calibri"/>
      <family val="2"/>
      <scheme val="minor"/>
    </font>
    <font>
      <sz val="11"/>
      <color theme="1"/>
      <name val="Raleway"/>
      <family val="2"/>
    </font>
    <font>
      <i/>
      <sz val="10"/>
      <color theme="1"/>
      <name val="Calibri"/>
      <family val="2"/>
      <scheme val="minor"/>
    </font>
    <font>
      <sz val="10"/>
      <color theme="1"/>
      <name val="Arial Unicode MS"/>
      <family val="2"/>
    </font>
    <font>
      <b/>
      <sz val="18"/>
      <color theme="1" tint="0.34998626667073579"/>
      <name val="Calibri"/>
      <family val="2"/>
      <scheme val="minor"/>
    </font>
    <font>
      <b/>
      <sz val="18"/>
      <color theme="0" tint="-4.9989318521683403E-2"/>
      <name val="Calibri"/>
      <family val="2"/>
      <scheme val="minor"/>
    </font>
    <font>
      <b/>
      <sz val="11"/>
      <color theme="1" tint="0.34998626667073579"/>
      <name val="Calibri"/>
      <family val="2"/>
      <scheme val="minor"/>
    </font>
    <font>
      <sz val="11"/>
      <color theme="1" tint="0.34998626667073579"/>
      <name val="Calibri"/>
      <family val="2"/>
      <scheme val="minor"/>
    </font>
    <font>
      <sz val="12"/>
      <color rgb="FF14618A"/>
      <name val="Calibri"/>
      <family val="2"/>
      <scheme val="minor"/>
    </font>
    <font>
      <b/>
      <sz val="12"/>
      <color rgb="FF14618A"/>
      <name val="Calibri"/>
      <family val="2"/>
      <scheme val="minor"/>
    </font>
    <font>
      <b/>
      <sz val="18"/>
      <color theme="1"/>
      <name val="Calibri"/>
      <family val="2"/>
      <scheme val="minor"/>
    </font>
    <font>
      <u/>
      <sz val="11"/>
      <color theme="10"/>
      <name val="Calibri"/>
      <family val="2"/>
      <scheme val="minor"/>
    </font>
    <font>
      <b/>
      <sz val="14"/>
      <color rgb="FF1F4E78"/>
      <name val="Calibri"/>
      <family val="2"/>
      <scheme val="minor"/>
    </font>
    <font>
      <b/>
      <sz val="11"/>
      <color rgb="FFFFFFFF"/>
      <name val="Calibri"/>
      <family val="2"/>
      <scheme val="minor"/>
    </font>
  </fonts>
  <fills count="9">
    <fill>
      <patternFill patternType="none"/>
    </fill>
    <fill>
      <patternFill patternType="gray125"/>
    </fill>
    <fill>
      <gradientFill type="path" top="1" bottom="1">
        <stop position="0">
          <color rgb="FF407EA1"/>
        </stop>
        <stop position="1">
          <color rgb="FF14618A"/>
        </stop>
      </gradientFill>
    </fill>
    <fill>
      <patternFill patternType="solid">
        <fgColor theme="0"/>
        <bgColor indexed="64"/>
      </patternFill>
    </fill>
    <fill>
      <patternFill patternType="solid">
        <fgColor theme="8" tint="-0.249977111117893"/>
        <bgColor indexed="64"/>
      </patternFill>
    </fill>
    <fill>
      <patternFill patternType="solid">
        <fgColor rgb="FFF2F2F2"/>
        <bgColor indexed="64"/>
      </patternFill>
    </fill>
    <fill>
      <patternFill patternType="solid">
        <fgColor rgb="FF2F75B5"/>
        <bgColor indexed="64"/>
      </patternFill>
    </fill>
    <fill>
      <patternFill patternType="solid">
        <fgColor rgb="FFA6A6A6"/>
        <bgColor indexed="64"/>
      </patternFill>
    </fill>
    <fill>
      <patternFill patternType="solid">
        <fgColor rgb="FFFFFF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medium">
        <color rgb="FF145C87"/>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rgb="FF000000"/>
      </diagonal>
    </border>
    <border diagonalUp="1" diagonalDown="1">
      <left style="thin">
        <color indexed="64"/>
      </left>
      <right style="thin">
        <color indexed="64"/>
      </right>
      <top style="thin">
        <color indexed="64"/>
      </top>
      <bottom/>
      <diagonal style="thin">
        <color rgb="FF000000"/>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diagonalUp="1" diagonalDown="1">
      <left style="thin">
        <color indexed="64"/>
      </left>
      <right/>
      <top style="thin">
        <color indexed="64"/>
      </top>
      <bottom style="thin">
        <color indexed="64"/>
      </bottom>
      <diagonal style="thin">
        <color rgb="FF000000"/>
      </diagonal>
    </border>
    <border diagonalUp="1" diagonalDown="1">
      <left/>
      <right style="thin">
        <color indexed="64"/>
      </right>
      <top style="thin">
        <color indexed="64"/>
      </top>
      <bottom style="thin">
        <color indexed="64"/>
      </bottom>
      <diagonal style="thin">
        <color rgb="FF000000"/>
      </diagonal>
    </border>
    <border diagonalUp="1" diagonalDown="1">
      <left style="thin">
        <color indexed="64"/>
      </left>
      <right/>
      <top style="thin">
        <color indexed="64"/>
      </top>
      <bottom/>
      <diagonal style="thin">
        <color rgb="FF000000"/>
      </diagonal>
    </border>
    <border diagonalUp="1" diagonalDown="1">
      <left/>
      <right style="thin">
        <color indexed="64"/>
      </right>
      <top style="thin">
        <color indexed="64"/>
      </top>
      <bottom/>
      <diagonal style="thin">
        <color rgb="FF000000"/>
      </diagonal>
    </border>
    <border diagonalUp="1" diagonalDown="1">
      <left/>
      <right/>
      <top style="thin">
        <color indexed="64"/>
      </top>
      <bottom style="thin">
        <color indexed="64"/>
      </bottom>
      <diagonal style="thin">
        <color rgb="FF000000"/>
      </diagonal>
    </border>
    <border diagonalUp="1" diagonalDown="1">
      <left/>
      <right/>
      <top style="thin">
        <color indexed="64"/>
      </top>
      <bottom/>
      <diagonal style="thin">
        <color rgb="FF000000"/>
      </diagonal>
    </border>
  </borders>
  <cellStyleXfs count="4">
    <xf numFmtId="0" fontId="0" fillId="0" borderId="0"/>
    <xf numFmtId="0" fontId="1" fillId="0" borderId="0"/>
    <xf numFmtId="0" fontId="17" fillId="0" borderId="0" applyNumberFormat="0" applyFill="0" applyBorder="0" applyAlignment="0" applyProtection="0"/>
    <xf numFmtId="9" fontId="1" fillId="0" borderId="0" applyFont="0" applyFill="0" applyBorder="0" applyAlignment="0" applyProtection="0"/>
  </cellStyleXfs>
  <cellXfs count="101">
    <xf numFmtId="0" fontId="0" fillId="0" borderId="0" xfId="0"/>
    <xf numFmtId="0" fontId="6" fillId="0" borderId="0" xfId="0" applyFont="1"/>
    <xf numFmtId="0" fontId="1" fillId="0" borderId="0" xfId="0" applyFont="1"/>
    <xf numFmtId="0" fontId="1" fillId="0" borderId="0" xfId="0" applyFont="1" applyAlignment="1">
      <alignment horizontal="right"/>
    </xf>
    <xf numFmtId="0" fontId="8" fillId="0" borderId="0" xfId="0" applyFont="1" applyAlignment="1">
      <alignment horizontal="right"/>
    </xf>
    <xf numFmtId="0" fontId="8" fillId="0" borderId="0" xfId="0" applyFont="1"/>
    <xf numFmtId="0" fontId="9" fillId="0" borderId="1" xfId="1" applyFont="1" applyBorder="1" applyAlignment="1">
      <alignment horizontal="center" vertical="top"/>
    </xf>
    <xf numFmtId="0" fontId="1" fillId="0" borderId="0" xfId="0" quotePrefix="1" applyFont="1"/>
    <xf numFmtId="0" fontId="9" fillId="0" borderId="1" xfId="0" applyFont="1" applyBorder="1" applyAlignment="1">
      <alignment horizontal="center" vertical="top"/>
    </xf>
    <xf numFmtId="0" fontId="10" fillId="0" borderId="2" xfId="0" applyFont="1" applyBorder="1"/>
    <xf numFmtId="0" fontId="1" fillId="0" borderId="2" xfId="0" applyFont="1" applyBorder="1" applyAlignment="1">
      <alignment horizontal="right"/>
    </xf>
    <xf numFmtId="0" fontId="10" fillId="0" borderId="0" xfId="0" applyFont="1"/>
    <xf numFmtId="0" fontId="11" fillId="0" borderId="0" xfId="0" applyFont="1"/>
    <xf numFmtId="0" fontId="3" fillId="0" borderId="0" xfId="0" applyFont="1"/>
    <xf numFmtId="0" fontId="3" fillId="0" borderId="0" xfId="0" applyFont="1" applyAlignment="1">
      <alignment horizontal="right"/>
    </xf>
    <xf numFmtId="0" fontId="12" fillId="0" borderId="0" xfId="0" applyFont="1"/>
    <xf numFmtId="0" fontId="13" fillId="0" borderId="0" xfId="0" applyFont="1"/>
    <xf numFmtId="0" fontId="13" fillId="3" borderId="1" xfId="0" applyFont="1" applyFill="1" applyBorder="1" applyAlignment="1" applyProtection="1">
      <alignment horizontal="right" indent="1"/>
      <protection locked="0"/>
    </xf>
    <xf numFmtId="0" fontId="4" fillId="0" borderId="0" xfId="0" applyFont="1"/>
    <xf numFmtId="0" fontId="4" fillId="0" borderId="0" xfId="0" applyFont="1" applyAlignment="1">
      <alignment horizontal="right"/>
    </xf>
    <xf numFmtId="0" fontId="13" fillId="0" borderId="0" xfId="0" applyFont="1" applyAlignment="1">
      <alignment horizontal="right"/>
    </xf>
    <xf numFmtId="14" fontId="13" fillId="3" borderId="1" xfId="0" applyNumberFormat="1" applyFont="1" applyFill="1" applyBorder="1" applyAlignment="1" applyProtection="1">
      <alignment horizontal="right" indent="1"/>
      <protection locked="0"/>
    </xf>
    <xf numFmtId="14" fontId="1" fillId="0" borderId="0" xfId="0" applyNumberFormat="1" applyFont="1"/>
    <xf numFmtId="0" fontId="13" fillId="0" borderId="1" xfId="0" applyFont="1" applyBorder="1" applyAlignment="1" applyProtection="1">
      <alignment horizontal="right"/>
      <protection locked="0"/>
    </xf>
    <xf numFmtId="0" fontId="1" fillId="0" borderId="0" xfId="0" applyFont="1" applyAlignment="1">
      <alignment horizontal="left"/>
    </xf>
    <xf numFmtId="0" fontId="13" fillId="0" borderId="2" xfId="0" applyFont="1" applyBorder="1" applyAlignment="1">
      <alignment horizontal="right"/>
    </xf>
    <xf numFmtId="0" fontId="13" fillId="3" borderId="0" xfId="0" applyFont="1" applyFill="1" applyAlignment="1" applyProtection="1">
      <alignment horizontal="right" indent="1"/>
      <protection locked="0"/>
    </xf>
    <xf numFmtId="0" fontId="12" fillId="0" borderId="0" xfId="0" applyFont="1" applyAlignment="1">
      <alignment vertical="center"/>
    </xf>
    <xf numFmtId="0" fontId="1" fillId="0" borderId="0" xfId="0" applyFont="1" applyAlignment="1">
      <alignment vertical="center"/>
    </xf>
    <xf numFmtId="0" fontId="13" fillId="3" borderId="1" xfId="0" applyFont="1" applyFill="1" applyBorder="1" applyAlignment="1" applyProtection="1">
      <alignment horizontal="right" vertical="center" indent="1"/>
      <protection locked="0"/>
    </xf>
    <xf numFmtId="0" fontId="3" fillId="0" borderId="0" xfId="0" applyFont="1" applyAlignment="1">
      <alignment horizontal="right" vertical="center"/>
    </xf>
    <xf numFmtId="0" fontId="14" fillId="0" borderId="0" xfId="0" applyFont="1" applyAlignment="1">
      <alignment horizontal="left" vertical="center" indent="1"/>
    </xf>
    <xf numFmtId="0" fontId="14" fillId="0" borderId="0" xfId="0" applyFont="1" applyAlignment="1">
      <alignment vertical="center"/>
    </xf>
    <xf numFmtId="0" fontId="0" fillId="0" borderId="0" xfId="0" applyAlignment="1">
      <alignment vertical="top" wrapText="1"/>
    </xf>
    <xf numFmtId="0" fontId="0" fillId="0" borderId="0" xfId="0" quotePrefix="1"/>
    <xf numFmtId="0" fontId="0" fillId="0" borderId="4" xfId="0" applyBorder="1" applyAlignment="1">
      <alignment vertical="top" wrapText="1"/>
    </xf>
    <xf numFmtId="0" fontId="2" fillId="4" borderId="5" xfId="0" applyFont="1" applyFill="1" applyBorder="1" applyAlignment="1">
      <alignment vertical="top" wrapText="1"/>
    </xf>
    <xf numFmtId="0" fontId="17" fillId="0" borderId="5" xfId="2" applyBorder="1" applyAlignment="1">
      <alignment vertical="top" wrapText="1"/>
    </xf>
    <xf numFmtId="0" fontId="0" fillId="0" borderId="5" xfId="0" applyBorder="1" applyAlignment="1">
      <alignment vertical="top" wrapText="1"/>
    </xf>
    <xf numFmtId="0" fontId="0" fillId="0" borderId="5" xfId="0" applyBorder="1" applyAlignment="1" applyProtection="1">
      <alignment vertical="top" wrapText="1"/>
      <protection locked="0"/>
    </xf>
    <xf numFmtId="0" fontId="0" fillId="5" borderId="1" xfId="0" applyFill="1" applyBorder="1"/>
    <xf numFmtId="0" fontId="19" fillId="6" borderId="1" xfId="0" quotePrefix="1" applyFont="1" applyFill="1" applyBorder="1"/>
    <xf numFmtId="0" fontId="19" fillId="6" borderId="1" xfId="0" quotePrefix="1" applyFont="1" applyFill="1" applyBorder="1" applyAlignment="1">
      <alignment horizontal="center"/>
    </xf>
    <xf numFmtId="0" fontId="0" fillId="5" borderId="1" xfId="0" applyFill="1" applyBorder="1" applyAlignment="1">
      <alignment wrapText="1"/>
    </xf>
    <xf numFmtId="0" fontId="19" fillId="6" borderId="6" xfId="0" quotePrefix="1" applyFont="1" applyFill="1" applyBorder="1"/>
    <xf numFmtId="0" fontId="19" fillId="6" borderId="5" xfId="0" quotePrefix="1" applyFont="1" applyFill="1" applyBorder="1" applyAlignment="1">
      <alignment horizontal="center"/>
    </xf>
    <xf numFmtId="0" fontId="0" fillId="7" borderId="12" xfId="0" applyFill="1" applyBorder="1"/>
    <xf numFmtId="0" fontId="0" fillId="5" borderId="1" xfId="0" applyFill="1" applyBorder="1" applyAlignment="1">
      <alignment horizontal="left" wrapText="1" indent="2"/>
    </xf>
    <xf numFmtId="0" fontId="0" fillId="7" borderId="13" xfId="0" applyFill="1" applyBorder="1"/>
    <xf numFmtId="0" fontId="0" fillId="5" borderId="1" xfId="0" applyFill="1" applyBorder="1" applyAlignment="1">
      <alignment horizontal="left" wrapText="1" indent="3"/>
    </xf>
    <xf numFmtId="0" fontId="0" fillId="8" borderId="1" xfId="0" applyFill="1" applyBorder="1" applyProtection="1">
      <protection locked="0"/>
    </xf>
    <xf numFmtId="0" fontId="0" fillId="8" borderId="1" xfId="0" applyFill="1" applyBorder="1" applyAlignment="1" applyProtection="1">
      <alignment wrapText="1"/>
      <protection locked="0"/>
    </xf>
    <xf numFmtId="0" fontId="17" fillId="5" borderId="1" xfId="2" applyFill="1" applyBorder="1" applyAlignment="1">
      <alignment horizontal="left" wrapText="1" indent="3"/>
    </xf>
    <xf numFmtId="0" fontId="19" fillId="6" borderId="1" xfId="0" applyFont="1" applyFill="1" applyBorder="1"/>
    <xf numFmtId="164" fontId="0" fillId="8" borderId="1" xfId="0" applyNumberFormat="1" applyFill="1" applyBorder="1" applyProtection="1">
      <protection locked="0"/>
    </xf>
    <xf numFmtId="0" fontId="0" fillId="5" borderId="1" xfId="0" applyFill="1" applyBorder="1" applyAlignment="1">
      <alignment horizontal="center" vertical="center" wrapText="1"/>
    </xf>
    <xf numFmtId="0" fontId="0" fillId="7" borderId="17" xfId="0" applyFill="1" applyBorder="1"/>
    <xf numFmtId="0" fontId="0" fillId="7" borderId="18" xfId="0" applyFill="1" applyBorder="1"/>
    <xf numFmtId="0" fontId="0" fillId="7" borderId="19" xfId="0" applyFill="1" applyBorder="1"/>
    <xf numFmtId="0" fontId="0" fillId="7" borderId="20" xfId="0" applyFill="1" applyBorder="1"/>
    <xf numFmtId="4" fontId="0" fillId="8" borderId="1" xfId="0" applyNumberFormat="1" applyFill="1" applyBorder="1" applyProtection="1">
      <protection locked="0"/>
    </xf>
    <xf numFmtId="0" fontId="0" fillId="5" borderId="1" xfId="0" applyFill="1" applyBorder="1" applyAlignment="1">
      <alignment horizontal="left" wrapText="1" indent="4"/>
    </xf>
    <xf numFmtId="0" fontId="0" fillId="5" borderId="1" xfId="0" applyFill="1" applyBorder="1" applyAlignment="1">
      <alignment horizontal="left" wrapText="1" indent="5"/>
    </xf>
    <xf numFmtId="4" fontId="0" fillId="8" borderId="5" xfId="0" applyNumberFormat="1" applyFill="1" applyBorder="1" applyProtection="1">
      <protection locked="0"/>
    </xf>
    <xf numFmtId="4" fontId="0" fillId="8" borderId="6" xfId="0" applyNumberFormat="1" applyFill="1" applyBorder="1" applyProtection="1">
      <protection locked="0"/>
    </xf>
    <xf numFmtId="4" fontId="0" fillId="8" borderId="3" xfId="0" applyNumberFormat="1" applyFill="1" applyBorder="1" applyProtection="1">
      <protection locked="0"/>
    </xf>
    <xf numFmtId="0" fontId="0" fillId="7" borderId="21" xfId="0" applyFill="1" applyBorder="1"/>
    <xf numFmtId="0" fontId="0" fillId="7" borderId="22" xfId="0" applyFill="1" applyBorder="1"/>
    <xf numFmtId="0" fontId="0" fillId="8" borderId="5" xfId="0" applyFill="1" applyBorder="1" applyAlignment="1" applyProtection="1">
      <alignment wrapText="1"/>
      <protection locked="0"/>
    </xf>
    <xf numFmtId="2" fontId="0" fillId="8" borderId="1" xfId="0" applyNumberFormat="1" applyFill="1" applyBorder="1" applyProtection="1">
      <protection locked="0"/>
    </xf>
    <xf numFmtId="10" fontId="0" fillId="8" borderId="1" xfId="0" applyNumberFormat="1" applyFill="1" applyBorder="1" applyProtection="1">
      <protection locked="0"/>
    </xf>
    <xf numFmtId="10" fontId="0" fillId="8" borderId="6" xfId="0" applyNumberFormat="1" applyFill="1" applyBorder="1" applyProtection="1">
      <protection locked="0"/>
    </xf>
    <xf numFmtId="0" fontId="0" fillId="5" borderId="1" xfId="0" applyFill="1" applyBorder="1" applyAlignment="1">
      <alignment horizontal="left" wrapText="1" indent="6"/>
    </xf>
    <xf numFmtId="0" fontId="0" fillId="8" borderId="6" xfId="0" applyFill="1" applyBorder="1" applyProtection="1">
      <protection locked="0"/>
    </xf>
    <xf numFmtId="0" fontId="0" fillId="8" borderId="5" xfId="0" applyFill="1" applyBorder="1" applyProtection="1">
      <protection locked="0"/>
    </xf>
    <xf numFmtId="0" fontId="0" fillId="8" borderId="3" xfId="0" applyFill="1" applyBorder="1" applyProtection="1">
      <protection locked="0"/>
    </xf>
    <xf numFmtId="10" fontId="0" fillId="8" borderId="5" xfId="0" applyNumberFormat="1" applyFill="1" applyBorder="1" applyProtection="1">
      <protection locked="0"/>
    </xf>
    <xf numFmtId="0" fontId="0" fillId="5" borderId="11" xfId="0" applyFill="1" applyBorder="1" applyAlignment="1">
      <alignment horizontal="center" vertical="center" wrapText="1"/>
    </xf>
    <xf numFmtId="10" fontId="0" fillId="8" borderId="3" xfId="0" applyNumberFormat="1" applyFill="1" applyBorder="1" applyProtection="1">
      <protection locked="0"/>
    </xf>
    <xf numFmtId="2" fontId="0" fillId="8" borderId="6" xfId="0" applyNumberFormat="1" applyFill="1" applyBorder="1" applyProtection="1">
      <protection locked="0"/>
    </xf>
    <xf numFmtId="2" fontId="0" fillId="8" borderId="3" xfId="0" applyNumberFormat="1" applyFill="1" applyBorder="1" applyProtection="1">
      <protection locked="0"/>
    </xf>
    <xf numFmtId="9" fontId="0" fillId="8" borderId="1" xfId="3" applyFont="1" applyFill="1" applyBorder="1" applyProtection="1">
      <protection locked="0"/>
    </xf>
    <xf numFmtId="4" fontId="0" fillId="0" borderId="0" xfId="0" applyNumberFormat="1"/>
    <xf numFmtId="3" fontId="0" fillId="8" borderId="1" xfId="0" applyNumberFormat="1" applyFill="1" applyBorder="1" applyProtection="1">
      <protection locked="0"/>
    </xf>
    <xf numFmtId="0" fontId="7" fillId="0" borderId="0" xfId="0" applyFont="1" applyAlignment="1">
      <alignment horizontal="center" vertical="center"/>
    </xf>
    <xf numFmtId="0" fontId="5" fillId="2" borderId="0" xfId="0" applyFont="1" applyFill="1" applyAlignment="1">
      <alignment horizontal="center" vertical="center"/>
    </xf>
    <xf numFmtId="0" fontId="16" fillId="0" borderId="0" xfId="0" applyFont="1"/>
    <xf numFmtId="0" fontId="0" fillId="0" borderId="0" xfId="0"/>
    <xf numFmtId="0" fontId="18" fillId="0" borderId="0" xfId="0" applyFont="1"/>
    <xf numFmtId="0" fontId="0" fillId="5" borderId="5"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6" xfId="0" applyFill="1" applyBorder="1" applyAlignment="1">
      <alignment horizontal="center" vertical="center" wrapText="1"/>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7" xfId="0" applyFill="1" applyBorder="1" applyAlignment="1">
      <alignment horizontal="center" vertical="center" wrapText="1"/>
    </xf>
  </cellXfs>
  <cellStyles count="4">
    <cellStyle name="Hyperlink" xfId="2" builtinId="8"/>
    <cellStyle name="Normal" xfId="0" builtinId="0"/>
    <cellStyle name="Percent" xfId="3" builtinId="5"/>
    <cellStyle name="Standaard 8" xfId="1" xr:uid="{82F611F2-3905-4AAD-B6FB-AE2DE46F9F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205" Type="http://schemas.openxmlformats.org/officeDocument/2006/relationships/calcChain" Target="calcChain.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93" Type="http://schemas.openxmlformats.org/officeDocument/2006/relationships/worksheet" Target="worksheets/sheet193.xml"/><Relationship Id="rId13" Type="http://schemas.openxmlformats.org/officeDocument/2006/relationships/worksheet" Target="worksheets/sheet13.xml"/><Relationship Id="rId109" Type="http://schemas.openxmlformats.org/officeDocument/2006/relationships/worksheet" Target="worksheets/sheet109.xml"/><Relationship Id="rId34" Type="http://schemas.openxmlformats.org/officeDocument/2006/relationships/worksheet" Target="worksheets/sheet34.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20" Type="http://schemas.openxmlformats.org/officeDocument/2006/relationships/worksheet" Target="worksheets/sheet120.xml"/><Relationship Id="rId141" Type="http://schemas.openxmlformats.org/officeDocument/2006/relationships/worksheet" Target="worksheets/sheet141.xml"/><Relationship Id="rId7" Type="http://schemas.openxmlformats.org/officeDocument/2006/relationships/worksheet" Target="worksheets/sheet7.xml"/><Relationship Id="rId162" Type="http://schemas.openxmlformats.org/officeDocument/2006/relationships/worksheet" Target="worksheets/sheet162.xml"/><Relationship Id="rId183" Type="http://schemas.openxmlformats.org/officeDocument/2006/relationships/worksheet" Target="worksheets/sheet183.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190" Type="http://schemas.openxmlformats.org/officeDocument/2006/relationships/worksheet" Target="worksheets/sheet190.xml"/><Relationship Id="rId204" Type="http://schemas.openxmlformats.org/officeDocument/2006/relationships/sharedStrings" Target="sharedString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worksheet" Target="worksheets/sheet201.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202" Type="http://schemas.openxmlformats.org/officeDocument/2006/relationships/theme" Target="theme/theme1.xml"/><Relationship Id="rId18" Type="http://schemas.openxmlformats.org/officeDocument/2006/relationships/worksheet" Target="worksheets/sheet18.xml"/><Relationship Id="rId39" Type="http://schemas.openxmlformats.org/officeDocument/2006/relationships/worksheet" Target="worksheets/sheet39.xml"/><Relationship Id="rId50" Type="http://schemas.openxmlformats.org/officeDocument/2006/relationships/worksheet" Target="worksheets/sheet50.xml"/><Relationship Id="rId104" Type="http://schemas.openxmlformats.org/officeDocument/2006/relationships/worksheet" Target="worksheets/sheet104.xml"/><Relationship Id="rId125" Type="http://schemas.openxmlformats.org/officeDocument/2006/relationships/worksheet" Target="worksheets/sheet125.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6</xdr:col>
      <xdr:colOff>151188</xdr:colOff>
      <xdr:row>19</xdr:row>
      <xdr:rowOff>94762</xdr:rowOff>
    </xdr:from>
    <xdr:to>
      <xdr:col>6</xdr:col>
      <xdr:colOff>311334</xdr:colOff>
      <xdr:row>20</xdr:row>
      <xdr:rowOff>59105</xdr:rowOff>
    </xdr:to>
    <xdr:sp macro="[0]!Show_Advanced_Requirements" textlink="">
      <xdr:nvSpPr>
        <xdr:cNvPr id="2" name="ShowAdvanced" hidden="1">
          <a:extLst>
            <a:ext uri="{FF2B5EF4-FFF2-40B4-BE49-F238E27FC236}">
              <a16:creationId xmlns:a16="http://schemas.microsoft.com/office/drawing/2014/main" id="{EF57D864-1753-4F09-90BA-893304730B6E}"/>
            </a:ext>
          </a:extLst>
        </xdr:cNvPr>
        <xdr:cNvSpPr/>
      </xdr:nvSpPr>
      <xdr:spPr>
        <a:xfrm>
          <a:off x="5542338" y="3276112"/>
          <a:ext cx="160146" cy="1548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t>+</a:t>
          </a:r>
        </a:p>
      </xdr:txBody>
    </xdr:sp>
    <xdr:clientData/>
  </xdr:twoCellAnchor>
  <xdr:twoCellAnchor editAs="absolute">
    <xdr:from>
      <xdr:col>7</xdr:col>
      <xdr:colOff>28575</xdr:colOff>
      <xdr:row>23</xdr:row>
      <xdr:rowOff>185497</xdr:rowOff>
    </xdr:from>
    <xdr:to>
      <xdr:col>9</xdr:col>
      <xdr:colOff>447675</xdr:colOff>
      <xdr:row>31</xdr:row>
      <xdr:rowOff>9525</xdr:rowOff>
    </xdr:to>
    <xdr:pic>
      <xdr:nvPicPr>
        <xdr:cNvPr id="3" name="Afbeelding 2">
          <a:extLst>
            <a:ext uri="{FF2B5EF4-FFF2-40B4-BE49-F238E27FC236}">
              <a16:creationId xmlns:a16="http://schemas.microsoft.com/office/drawing/2014/main" id="{272629BC-2CFA-40A7-B984-E54D394C01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34125" y="4033597"/>
          <a:ext cx="1733550" cy="1176578"/>
        </a:xfrm>
        <a:prstGeom prst="rect">
          <a:avLst/>
        </a:prstGeom>
      </xdr:spPr>
    </xdr:pic>
    <xdr:clientData/>
  </xdr:twoCellAnchor>
  <xdr:twoCellAnchor editAs="absolute">
    <xdr:from>
      <xdr:col>0</xdr:col>
      <xdr:colOff>142875</xdr:colOff>
      <xdr:row>1</xdr:row>
      <xdr:rowOff>12434</xdr:rowOff>
    </xdr:from>
    <xdr:to>
      <xdr:col>3</xdr:col>
      <xdr:colOff>192776</xdr:colOff>
      <xdr:row>2</xdr:row>
      <xdr:rowOff>339991</xdr:rowOff>
    </xdr:to>
    <xdr:pic>
      <xdr:nvPicPr>
        <xdr:cNvPr id="4" name="Afbeelding 3">
          <a:extLst>
            <a:ext uri="{FF2B5EF4-FFF2-40B4-BE49-F238E27FC236}">
              <a16:creationId xmlns:a16="http://schemas.microsoft.com/office/drawing/2014/main" id="{481D1352-FCA3-4508-AF68-D12953B583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5" y="202934"/>
          <a:ext cx="2135876" cy="5180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91EE0-EBD4-484C-AD1E-86B7F673AC05}">
  <sheetPr codeName="UV_GD">
    <tabColor rgb="FF92D050"/>
  </sheetPr>
  <dimension ref="A1:W253"/>
  <sheetViews>
    <sheetView showGridLines="0" showRowColHeaders="0" topLeftCell="A13" zoomScaleNormal="100" workbookViewId="0">
      <selection activeCell="D46" sqref="D46"/>
    </sheetView>
  </sheetViews>
  <sheetFormatPr defaultColWidth="0" defaultRowHeight="0" customHeight="1" zeroHeight="1"/>
  <cols>
    <col min="1" max="1" width="3.5703125" style="1" customWidth="1"/>
    <col min="2" max="2" width="24.42578125" style="2" customWidth="1"/>
    <col min="3" max="3" width="3.28515625" style="2" customWidth="1"/>
    <col min="4" max="4" width="49.5703125" style="3" customWidth="1"/>
    <col min="5" max="5" width="15.5703125" style="2" hidden="1" customWidth="1"/>
    <col min="6" max="6" width="9.140625" style="2" hidden="1" customWidth="1"/>
    <col min="7" max="7" width="13.7109375" style="2" customWidth="1"/>
    <col min="8" max="8" width="16.42578125" style="2" customWidth="1"/>
    <col min="9" max="9" width="3.28515625" style="2" customWidth="1"/>
    <col min="10" max="10" width="10.42578125" style="2" customWidth="1"/>
    <col min="11" max="16" width="9.140625" style="2" hidden="1" customWidth="1"/>
    <col min="17" max="17" width="4.28515625" style="2" hidden="1" customWidth="1"/>
    <col min="18" max="18" width="32.140625" style="2" hidden="1" customWidth="1"/>
    <col min="19" max="19" width="4.28515625" style="2" hidden="1" customWidth="1"/>
    <col min="20" max="20" width="4.85546875" style="2" hidden="1" customWidth="1"/>
    <col min="21" max="21" width="0.5703125" style="2" hidden="1" customWidth="1"/>
    <col min="22" max="22" width="3.42578125" style="2" hidden="1" customWidth="1"/>
    <col min="23" max="23" width="5.85546875" style="2" hidden="1" customWidth="1"/>
    <col min="24" max="16384" width="9.140625" style="2" hidden="1"/>
  </cols>
  <sheetData>
    <row r="1" spans="1:23" ht="15">
      <c r="G1" s="84"/>
      <c r="H1" s="4" t="s">
        <v>0</v>
      </c>
      <c r="I1" s="5"/>
      <c r="J1" s="5" t="s">
        <v>6102</v>
      </c>
      <c r="Q1" s="2" t="s">
        <v>1</v>
      </c>
      <c r="R1" s="2" t="s">
        <v>2</v>
      </c>
      <c r="S1" t="s">
        <v>471</v>
      </c>
      <c r="T1" s="6" t="s">
        <v>29</v>
      </c>
      <c r="U1" s="7" t="s">
        <v>3</v>
      </c>
      <c r="V1" s="2" t="s">
        <v>4</v>
      </c>
      <c r="W1" t="s">
        <v>470</v>
      </c>
    </row>
    <row r="2" spans="1:23" ht="15">
      <c r="G2" s="84"/>
      <c r="Q2" s="2" t="s">
        <v>5</v>
      </c>
      <c r="R2" s="2" t="s">
        <v>2</v>
      </c>
      <c r="S2" t="s">
        <v>472</v>
      </c>
      <c r="T2" s="6" t="s">
        <v>473</v>
      </c>
      <c r="U2" s="7"/>
      <c r="V2" s="2" t="s">
        <v>7</v>
      </c>
    </row>
    <row r="3" spans="1:23" ht="39" customHeight="1">
      <c r="G3" s="84"/>
      <c r="H3" s="2" t="s">
        <v>8</v>
      </c>
      <c r="Q3" s="2" t="s">
        <v>9</v>
      </c>
      <c r="R3" s="2" t="s">
        <v>2</v>
      </c>
      <c r="S3" t="s">
        <v>474</v>
      </c>
      <c r="T3" s="6" t="s">
        <v>475</v>
      </c>
      <c r="U3" s="7"/>
      <c r="V3" s="2" t="s">
        <v>11</v>
      </c>
    </row>
    <row r="4" spans="1:23" ht="7.5" customHeight="1">
      <c r="A4" s="85"/>
      <c r="B4" s="85"/>
      <c r="C4" s="85"/>
      <c r="D4" s="85"/>
      <c r="E4" s="85"/>
      <c r="F4" s="85"/>
      <c r="G4" s="85"/>
      <c r="H4" s="85"/>
      <c r="I4" s="85"/>
      <c r="J4" s="85"/>
      <c r="Q4" s="2" t="s">
        <v>12</v>
      </c>
      <c r="R4" s="2" t="s">
        <v>2</v>
      </c>
      <c r="S4" t="s">
        <v>476</v>
      </c>
      <c r="T4" s="6" t="s">
        <v>477</v>
      </c>
      <c r="U4" s="7"/>
      <c r="V4" s="2" t="s">
        <v>14</v>
      </c>
    </row>
    <row r="5" spans="1:23" ht="7.5" customHeight="1">
      <c r="A5" s="85"/>
      <c r="B5" s="85"/>
      <c r="C5" s="85"/>
      <c r="D5" s="85"/>
      <c r="E5" s="85"/>
      <c r="F5" s="85"/>
      <c r="G5" s="85"/>
      <c r="H5" s="85"/>
      <c r="I5" s="85"/>
      <c r="J5" s="85"/>
      <c r="Q5" s="2" t="s">
        <v>15</v>
      </c>
      <c r="R5" s="2" t="s">
        <v>2</v>
      </c>
      <c r="S5" t="s">
        <v>478</v>
      </c>
      <c r="T5" s="6" t="s">
        <v>479</v>
      </c>
      <c r="U5" s="7"/>
      <c r="V5" s="2" t="s">
        <v>17</v>
      </c>
    </row>
    <row r="6" spans="1:23" ht="7.5" customHeight="1">
      <c r="A6" s="85"/>
      <c r="B6" s="85"/>
      <c r="C6" s="85"/>
      <c r="D6" s="85"/>
      <c r="E6" s="85"/>
      <c r="F6" s="85"/>
      <c r="G6" s="85"/>
      <c r="H6" s="85"/>
      <c r="I6" s="85"/>
      <c r="J6" s="85"/>
      <c r="Q6" s="2" t="s">
        <v>18</v>
      </c>
      <c r="R6" s="2" t="s">
        <v>2</v>
      </c>
      <c r="S6" t="s">
        <v>480</v>
      </c>
      <c r="T6" s="6" t="s">
        <v>481</v>
      </c>
      <c r="U6" s="7"/>
      <c r="V6" s="2" t="s">
        <v>20</v>
      </c>
    </row>
    <row r="7" spans="1:23" ht="15">
      <c r="Q7" s="2" t="s">
        <v>21</v>
      </c>
      <c r="R7" s="2" t="s">
        <v>2</v>
      </c>
      <c r="S7" t="s">
        <v>482</v>
      </c>
      <c r="T7" s="6" t="s">
        <v>483</v>
      </c>
      <c r="U7" s="7" t="s">
        <v>6</v>
      </c>
      <c r="V7" s="2" t="s">
        <v>23</v>
      </c>
    </row>
    <row r="8" spans="1:23" ht="24" thickBot="1">
      <c r="B8" s="9" t="s">
        <v>24</v>
      </c>
      <c r="C8" s="9"/>
      <c r="D8" s="10"/>
      <c r="H8" s="11"/>
      <c r="I8" s="11"/>
      <c r="J8" s="12"/>
      <c r="L8" s="13" t="s">
        <v>25</v>
      </c>
      <c r="M8" s="13" t="s">
        <v>26</v>
      </c>
      <c r="Q8" s="2" t="s">
        <v>27</v>
      </c>
      <c r="R8" s="2" t="s">
        <v>2</v>
      </c>
      <c r="S8" t="s">
        <v>484</v>
      </c>
      <c r="T8" s="8" t="s">
        <v>485</v>
      </c>
      <c r="U8" s="7" t="s">
        <v>10</v>
      </c>
      <c r="V8" s="2" t="s">
        <v>29</v>
      </c>
    </row>
    <row r="9" spans="1:23" ht="7.5" customHeight="1">
      <c r="B9" s="11"/>
      <c r="C9" s="11"/>
      <c r="Q9" s="2" t="s">
        <v>30</v>
      </c>
      <c r="R9" s="2" t="s">
        <v>2</v>
      </c>
      <c r="S9" s="2" t="s">
        <v>486</v>
      </c>
      <c r="T9" s="8" t="s">
        <v>487</v>
      </c>
      <c r="U9" s="7" t="s">
        <v>13</v>
      </c>
      <c r="V9" s="2" t="s">
        <v>32</v>
      </c>
    </row>
    <row r="10" spans="1:23" ht="15">
      <c r="A10" s="14" t="s">
        <v>33</v>
      </c>
      <c r="B10" s="15" t="s">
        <v>34</v>
      </c>
      <c r="C10" s="16" t="s">
        <v>35</v>
      </c>
      <c r="D10" s="17" t="s">
        <v>6103</v>
      </c>
      <c r="E10" s="2" t="str">
        <f>""&amp;D10</f>
        <v>0451406524</v>
      </c>
      <c r="F10" s="2">
        <f>IF(D10="",1,0)</f>
        <v>0</v>
      </c>
      <c r="H10" s="18"/>
      <c r="J10" s="19"/>
      <c r="Q10" s="2" t="s">
        <v>36</v>
      </c>
      <c r="R10" s="2" t="s">
        <v>2</v>
      </c>
      <c r="S10" s="2" t="s">
        <v>488</v>
      </c>
      <c r="T10" s="6" t="s">
        <v>489</v>
      </c>
      <c r="U10" s="7" t="s">
        <v>16</v>
      </c>
      <c r="V10" s="2" t="s">
        <v>38</v>
      </c>
    </row>
    <row r="11" spans="1:23" ht="7.5" customHeight="1">
      <c r="A11" s="14"/>
      <c r="B11" s="15"/>
      <c r="D11" s="20"/>
      <c r="J11" s="19"/>
      <c r="Q11" s="2" t="s">
        <v>39</v>
      </c>
      <c r="R11" s="2" t="s">
        <v>2</v>
      </c>
      <c r="S11" s="2" t="s">
        <v>490</v>
      </c>
      <c r="T11" s="6" t="s">
        <v>491</v>
      </c>
      <c r="U11" s="7" t="s">
        <v>19</v>
      </c>
      <c r="V11" s="2" t="s">
        <v>41</v>
      </c>
    </row>
    <row r="12" spans="1:23" ht="15">
      <c r="A12" s="14" t="s">
        <v>33</v>
      </c>
      <c r="B12" s="15" t="s">
        <v>42</v>
      </c>
      <c r="C12" s="2" t="s">
        <v>35</v>
      </c>
      <c r="D12" s="21">
        <v>44197</v>
      </c>
      <c r="E12" s="22">
        <f>D12</f>
        <v>44197</v>
      </c>
      <c r="F12" s="2">
        <f>IF(D12="",1,0)</f>
        <v>0</v>
      </c>
      <c r="H12" s="18"/>
      <c r="J12" s="19"/>
      <c r="Q12" s="2" t="s">
        <v>43</v>
      </c>
      <c r="R12" s="2" t="s">
        <v>2</v>
      </c>
      <c r="S12" s="2" t="s">
        <v>492</v>
      </c>
      <c r="T12" s="6" t="s">
        <v>493</v>
      </c>
      <c r="U12" s="7" t="s">
        <v>22</v>
      </c>
      <c r="V12" s="2" t="s">
        <v>45</v>
      </c>
    </row>
    <row r="13" spans="1:23" ht="7.5" customHeight="1">
      <c r="A13" s="14"/>
      <c r="B13" s="15"/>
      <c r="D13" s="20"/>
      <c r="J13" s="19"/>
      <c r="Q13" s="2" t="s">
        <v>46</v>
      </c>
      <c r="R13" s="2" t="s">
        <v>2</v>
      </c>
      <c r="S13" s="2" t="s">
        <v>494</v>
      </c>
      <c r="T13" s="6" t="s">
        <v>495</v>
      </c>
      <c r="U13" s="7" t="s">
        <v>28</v>
      </c>
      <c r="V13" s="2" t="s">
        <v>48</v>
      </c>
    </row>
    <row r="14" spans="1:23" ht="15">
      <c r="A14" s="14" t="s">
        <v>33</v>
      </c>
      <c r="B14" s="15" t="s">
        <v>49</v>
      </c>
      <c r="C14" s="2" t="s">
        <v>35</v>
      </c>
      <c r="D14" s="21">
        <v>44561</v>
      </c>
      <c r="E14" s="22">
        <f>D14</f>
        <v>44561</v>
      </c>
      <c r="F14" s="2">
        <f>IF(D14="",1,0)</f>
        <v>0</v>
      </c>
      <c r="H14" s="18"/>
      <c r="J14" s="19"/>
      <c r="Q14" s="2" t="s">
        <v>50</v>
      </c>
      <c r="R14" s="2" t="s">
        <v>2</v>
      </c>
      <c r="S14" s="2" t="s">
        <v>496</v>
      </c>
      <c r="T14" s="6" t="s">
        <v>497</v>
      </c>
      <c r="U14" s="7" t="s">
        <v>31</v>
      </c>
      <c r="V14" s="2" t="s">
        <v>52</v>
      </c>
    </row>
    <row r="15" spans="1:23" ht="7.5" customHeight="1">
      <c r="A15" s="14"/>
      <c r="B15" s="15"/>
      <c r="D15" s="20"/>
      <c r="Q15" s="2" t="s">
        <v>53</v>
      </c>
      <c r="R15" s="2" t="s">
        <v>2</v>
      </c>
      <c r="S15" s="2" t="s">
        <v>498</v>
      </c>
      <c r="T15" s="6" t="s">
        <v>499</v>
      </c>
      <c r="U15" s="7" t="s">
        <v>37</v>
      </c>
      <c r="V15" s="2" t="s">
        <v>55</v>
      </c>
    </row>
    <row r="16" spans="1:23" ht="15">
      <c r="A16" s="14"/>
      <c r="B16" s="15" t="s">
        <v>56</v>
      </c>
      <c r="C16" s="2" t="s">
        <v>35</v>
      </c>
      <c r="D16" s="23" t="s">
        <v>75</v>
      </c>
      <c r="Q16" s="2" t="s">
        <v>57</v>
      </c>
      <c r="R16" s="2" t="s">
        <v>2</v>
      </c>
      <c r="S16" s="2" t="s">
        <v>500</v>
      </c>
      <c r="T16" s="6" t="s">
        <v>501</v>
      </c>
      <c r="U16" s="7" t="s">
        <v>40</v>
      </c>
      <c r="V16" s="2" t="s">
        <v>59</v>
      </c>
    </row>
    <row r="17" spans="1:22" ht="7.5" customHeight="1">
      <c r="A17" s="14"/>
      <c r="B17" s="15"/>
      <c r="D17" s="20"/>
      <c r="Q17" s="2" t="s">
        <v>60</v>
      </c>
      <c r="R17" s="2" t="s">
        <v>2</v>
      </c>
      <c r="S17" s="2" t="s">
        <v>502</v>
      </c>
      <c r="T17" s="6" t="s">
        <v>503</v>
      </c>
      <c r="U17" s="7" t="s">
        <v>44</v>
      </c>
      <c r="V17" s="2" t="s">
        <v>62</v>
      </c>
    </row>
    <row r="18" spans="1:22" ht="15">
      <c r="A18" s="14" t="s">
        <v>33</v>
      </c>
      <c r="B18" s="15" t="s">
        <v>63</v>
      </c>
      <c r="C18" s="2" t="s">
        <v>35</v>
      </c>
      <c r="D18" s="17" t="s">
        <v>4</v>
      </c>
      <c r="E18" s="2" t="str">
        <f>""&amp;D18</f>
        <v>EUR</v>
      </c>
      <c r="F18" s="2">
        <f>IF(D18="",1,0)</f>
        <v>0</v>
      </c>
      <c r="Q18" s="2" t="s">
        <v>64</v>
      </c>
      <c r="R18" s="2" t="s">
        <v>2</v>
      </c>
      <c r="S18" s="2" t="s">
        <v>504</v>
      </c>
      <c r="T18" s="6" t="s">
        <v>505</v>
      </c>
      <c r="U18" s="7" t="s">
        <v>47</v>
      </c>
      <c r="V18" s="2" t="s">
        <v>66</v>
      </c>
    </row>
    <row r="19" spans="1:22" ht="7.5" customHeight="1">
      <c r="A19" s="14"/>
      <c r="B19" s="15"/>
      <c r="D19" s="20"/>
      <c r="Q19" s="2" t="s">
        <v>67</v>
      </c>
      <c r="R19" s="2" t="s">
        <v>2</v>
      </c>
      <c r="S19" s="2" t="s">
        <v>506</v>
      </c>
      <c r="T19" s="6" t="s">
        <v>507</v>
      </c>
      <c r="U19" s="7" t="s">
        <v>51</v>
      </c>
      <c r="V19" s="2" t="s">
        <v>68</v>
      </c>
    </row>
    <row r="20" spans="1:22" ht="15">
      <c r="A20" s="14" t="s">
        <v>33</v>
      </c>
      <c r="B20" s="15" t="s">
        <v>69</v>
      </c>
      <c r="C20" s="2" t="s">
        <v>35</v>
      </c>
      <c r="D20" s="17" t="s">
        <v>470</v>
      </c>
      <c r="F20" s="2">
        <f>IF(D20="",1,0)</f>
        <v>0</v>
      </c>
      <c r="Q20" s="2" t="s">
        <v>70</v>
      </c>
      <c r="R20" s="2" t="s">
        <v>2</v>
      </c>
      <c r="U20" s="7" t="s">
        <v>54</v>
      </c>
      <c r="V20" s="2" t="s">
        <v>71</v>
      </c>
    </row>
    <row r="21" spans="1:22" ht="7.5" customHeight="1">
      <c r="A21" s="14"/>
      <c r="B21" s="15"/>
      <c r="D21" s="20"/>
      <c r="Q21" s="2" t="s">
        <v>72</v>
      </c>
      <c r="R21" s="2" t="s">
        <v>2</v>
      </c>
      <c r="U21" s="7" t="s">
        <v>58</v>
      </c>
      <c r="V21" s="2" t="s">
        <v>73</v>
      </c>
    </row>
    <row r="22" spans="1:22" ht="15">
      <c r="A22" s="14" t="s">
        <v>33</v>
      </c>
      <c r="B22" s="15" t="s">
        <v>74</v>
      </c>
      <c r="C22" s="2" t="s">
        <v>35</v>
      </c>
      <c r="D22" s="17" t="s">
        <v>504</v>
      </c>
      <c r="E22" s="24" t="str">
        <f>IFERROR(VLOOKUP(D22,S:T,2,FALSE),"")</f>
        <v>APS</v>
      </c>
      <c r="F22" s="2">
        <f>IF(D22="",1,0)</f>
        <v>0</v>
      </c>
      <c r="Q22" s="2" t="s">
        <v>75</v>
      </c>
      <c r="R22" s="2" t="s">
        <v>76</v>
      </c>
      <c r="U22" s="7" t="s">
        <v>61</v>
      </c>
      <c r="V22" s="2" t="s">
        <v>77</v>
      </c>
    </row>
    <row r="23" spans="1:22" ht="15">
      <c r="A23" s="14"/>
      <c r="D23" s="20"/>
      <c r="Q23" s="2" t="s">
        <v>78</v>
      </c>
      <c r="R23" s="2" t="s">
        <v>2</v>
      </c>
      <c r="U23" s="2" t="s">
        <v>65</v>
      </c>
      <c r="V23" s="2" t="s">
        <v>79</v>
      </c>
    </row>
    <row r="24" spans="1:22" ht="15">
      <c r="A24" s="14"/>
      <c r="D24" s="20"/>
      <c r="Q24" s="2" t="s">
        <v>80</v>
      </c>
      <c r="R24" s="2" t="s">
        <v>2</v>
      </c>
      <c r="U24" s="2" t="s">
        <v>65</v>
      </c>
      <c r="V24" s="2" t="s">
        <v>81</v>
      </c>
    </row>
    <row r="25" spans="1:22" ht="24" thickBot="1">
      <c r="A25" s="14"/>
      <c r="B25" s="9" t="s">
        <v>82</v>
      </c>
      <c r="C25" s="9"/>
      <c r="D25" s="25"/>
      <c r="Q25" s="2" t="s">
        <v>83</v>
      </c>
      <c r="R25" s="2" t="s">
        <v>2</v>
      </c>
      <c r="V25" s="2" t="s">
        <v>84</v>
      </c>
    </row>
    <row r="26" spans="1:22" ht="7.5" customHeight="1">
      <c r="A26" s="14"/>
      <c r="B26" s="15"/>
      <c r="D26" s="20"/>
      <c r="Q26" s="2" t="s">
        <v>85</v>
      </c>
      <c r="R26" s="2" t="s">
        <v>2</v>
      </c>
      <c r="V26" s="2" t="s">
        <v>86</v>
      </c>
    </row>
    <row r="27" spans="1:22" ht="15">
      <c r="A27" s="14"/>
      <c r="B27" s="15" t="s">
        <v>87</v>
      </c>
      <c r="C27" s="2" t="s">
        <v>35</v>
      </c>
      <c r="D27" s="17" t="s">
        <v>76</v>
      </c>
      <c r="E27" s="2" t="str">
        <f>D27</f>
        <v>http://www.swift.com</v>
      </c>
      <c r="Q27" s="2" t="s">
        <v>88</v>
      </c>
      <c r="R27" s="2" t="s">
        <v>2</v>
      </c>
      <c r="V27" s="2" t="s">
        <v>89</v>
      </c>
    </row>
    <row r="28" spans="1:22" ht="7.5" customHeight="1">
      <c r="A28" s="14"/>
      <c r="B28" s="15"/>
      <c r="D28" s="26"/>
      <c r="Q28" s="2" t="s">
        <v>90</v>
      </c>
      <c r="R28" s="2" t="s">
        <v>2</v>
      </c>
      <c r="V28" s="2" t="s">
        <v>91</v>
      </c>
    </row>
    <row r="29" spans="1:22" ht="15">
      <c r="A29" s="14"/>
      <c r="B29" s="15" t="s">
        <v>92</v>
      </c>
      <c r="C29" s="2" t="s">
        <v>35</v>
      </c>
      <c r="D29" s="17"/>
      <c r="Q29" s="2" t="s">
        <v>93</v>
      </c>
      <c r="R29" s="2" t="s">
        <v>2</v>
      </c>
      <c r="V29" s="2" t="s">
        <v>94</v>
      </c>
    </row>
    <row r="30" spans="1:22" ht="7.5" customHeight="1">
      <c r="A30" s="14"/>
      <c r="B30" s="15"/>
      <c r="D30" s="20"/>
      <c r="Q30" s="2" t="s">
        <v>95</v>
      </c>
      <c r="R30" s="2" t="s">
        <v>2</v>
      </c>
      <c r="V30" s="2" t="s">
        <v>96</v>
      </c>
    </row>
    <row r="31" spans="1:22" ht="15">
      <c r="A31" s="14"/>
      <c r="B31" s="27" t="s">
        <v>97</v>
      </c>
      <c r="C31" s="28" t="s">
        <v>35</v>
      </c>
      <c r="D31" s="29"/>
      <c r="F31" s="2">
        <f xml:space="preserve"> 0.5 * 10^(-1 * PP_MonetaryPrecision)</f>
        <v>0.5</v>
      </c>
      <c r="Q31" s="28" t="s">
        <v>98</v>
      </c>
      <c r="R31" s="28" t="s">
        <v>2</v>
      </c>
      <c r="V31" s="28" t="s">
        <v>99</v>
      </c>
    </row>
    <row r="32" spans="1:22" ht="7.5" customHeight="1">
      <c r="A32" s="14"/>
      <c r="B32" s="15"/>
      <c r="D32" s="20"/>
      <c r="Q32" s="2" t="s">
        <v>100</v>
      </c>
      <c r="R32" s="2" t="s">
        <v>2</v>
      </c>
      <c r="V32" s="2" t="s">
        <v>101</v>
      </c>
    </row>
    <row r="33" spans="1:22" ht="15">
      <c r="A33" s="14"/>
      <c r="B33" s="15" t="s">
        <v>102</v>
      </c>
      <c r="C33" s="2" t="s">
        <v>35</v>
      </c>
      <c r="D33" s="17">
        <v>4</v>
      </c>
      <c r="F33" s="2">
        <f xml:space="preserve"> 0.5 * 10^(-1 * PP_DecimalPrecision)</f>
        <v>5.0000000000000002E-5</v>
      </c>
      <c r="Q33" s="2" t="s">
        <v>103</v>
      </c>
      <c r="R33" s="2" t="s">
        <v>2</v>
      </c>
      <c r="V33" s="2" t="s">
        <v>104</v>
      </c>
    </row>
    <row r="34" spans="1:22" ht="7.5" customHeight="1">
      <c r="A34" s="14"/>
      <c r="B34" s="15"/>
      <c r="D34" s="20"/>
      <c r="Q34" s="2" t="s">
        <v>105</v>
      </c>
      <c r="R34" s="2" t="s">
        <v>2</v>
      </c>
      <c r="V34" s="2" t="s">
        <v>106</v>
      </c>
    </row>
    <row r="35" spans="1:22" s="28" customFormat="1" ht="15" customHeight="1">
      <c r="A35" s="30"/>
      <c r="B35" s="27" t="s">
        <v>107</v>
      </c>
      <c r="C35" s="28" t="s">
        <v>35</v>
      </c>
      <c r="D35" s="29">
        <v>4</v>
      </c>
      <c r="H35" s="31" t="s">
        <v>108</v>
      </c>
      <c r="Q35" s="2" t="s">
        <v>109</v>
      </c>
      <c r="R35" s="2" t="s">
        <v>2</v>
      </c>
      <c r="S35" s="2"/>
      <c r="T35" s="2"/>
      <c r="U35" s="2"/>
      <c r="V35" s="2" t="s">
        <v>110</v>
      </c>
    </row>
    <row r="36" spans="1:22" ht="6.75" customHeight="1">
      <c r="D36" s="20"/>
      <c r="Q36" s="2" t="s">
        <v>111</v>
      </c>
      <c r="R36" s="2" t="s">
        <v>2</v>
      </c>
      <c r="S36" s="28"/>
      <c r="T36" s="28"/>
      <c r="U36" s="28"/>
      <c r="V36" s="2" t="s">
        <v>112</v>
      </c>
    </row>
    <row r="37" spans="1:22" ht="15" hidden="1">
      <c r="B37" s="15" t="s">
        <v>113</v>
      </c>
      <c r="C37" t="s">
        <v>35</v>
      </c>
      <c r="D37" s="17" t="b">
        <v>0</v>
      </c>
      <c r="Q37" s="2" t="s">
        <v>114</v>
      </c>
      <c r="R37" s="2" t="s">
        <v>2</v>
      </c>
      <c r="V37" s="2" t="s">
        <v>115</v>
      </c>
    </row>
    <row r="38" spans="1:22" ht="24" customHeight="1" thickBot="1">
      <c r="B38" s="9" t="s">
        <v>116</v>
      </c>
      <c r="C38" s="9"/>
      <c r="D38" s="25"/>
      <c r="Q38" s="2" t="s">
        <v>117</v>
      </c>
      <c r="R38" s="2" t="s">
        <v>2</v>
      </c>
      <c r="V38" s="2" t="s">
        <v>118</v>
      </c>
    </row>
    <row r="39" spans="1:22" ht="7.5" customHeight="1">
      <c r="A39" s="1" t="s">
        <v>75</v>
      </c>
      <c r="B39" s="15"/>
      <c r="D39" s="20"/>
      <c r="Q39" s="2" t="s">
        <v>119</v>
      </c>
      <c r="R39" s="2" t="s">
        <v>2</v>
      </c>
      <c r="V39" s="2" t="s">
        <v>120</v>
      </c>
    </row>
    <row r="40" spans="1:22" ht="15" customHeight="1">
      <c r="A40" s="1" t="s">
        <v>75</v>
      </c>
      <c r="B40" s="15" t="s">
        <v>121</v>
      </c>
      <c r="C40" s="2" t="s">
        <v>35</v>
      </c>
      <c r="D40" s="23" t="s">
        <v>6104</v>
      </c>
      <c r="F40" s="2">
        <f>IF(AND(A40=PP_Country,D40=""),1,0)</f>
        <v>0</v>
      </c>
      <c r="Q40" s="2" t="s">
        <v>122</v>
      </c>
      <c r="R40" s="2" t="s">
        <v>2</v>
      </c>
      <c r="V40" s="2" t="s">
        <v>123</v>
      </c>
    </row>
    <row r="41" spans="1:22" ht="7.5" customHeight="1">
      <c r="A41" s="1" t="s">
        <v>75</v>
      </c>
      <c r="B41" s="15"/>
      <c r="C41" s="15"/>
      <c r="D41" s="15"/>
      <c r="Q41" s="2" t="s">
        <v>124</v>
      </c>
      <c r="R41" s="2" t="s">
        <v>2</v>
      </c>
      <c r="V41" s="2" t="s">
        <v>4</v>
      </c>
    </row>
    <row r="42" spans="1:22" ht="15" customHeight="1">
      <c r="A42" s="1" t="s">
        <v>75</v>
      </c>
      <c r="B42" s="15" t="s">
        <v>125</v>
      </c>
      <c r="C42" t="s">
        <v>35</v>
      </c>
      <c r="D42" s="23" t="s">
        <v>6105</v>
      </c>
      <c r="Q42" s="2" t="s">
        <v>126</v>
      </c>
      <c r="R42" s="2" t="s">
        <v>2</v>
      </c>
      <c r="V42" s="2" t="s">
        <v>127</v>
      </c>
    </row>
    <row r="43" spans="1:22" ht="7.5" customHeight="1">
      <c r="A43" s="1" t="s">
        <v>75</v>
      </c>
      <c r="B43" s="15"/>
      <c r="D43" s="20"/>
      <c r="Q43" s="2" t="s">
        <v>128</v>
      </c>
      <c r="R43" s="2" t="s">
        <v>2</v>
      </c>
      <c r="V43" s="2" t="s">
        <v>129</v>
      </c>
    </row>
    <row r="44" spans="1:22" ht="15" customHeight="1">
      <c r="A44" s="1" t="s">
        <v>75</v>
      </c>
      <c r="B44" s="15" t="s">
        <v>130</v>
      </c>
      <c r="C44" s="2" t="s">
        <v>35</v>
      </c>
      <c r="D44" s="23" t="s">
        <v>6106</v>
      </c>
      <c r="E44" s="2" t="str">
        <f>""&amp;D44</f>
        <v>KBO</v>
      </c>
      <c r="F44" s="2">
        <f>IF(AND(A44=PP_Country,D44=""),1,0)</f>
        <v>0</v>
      </c>
      <c r="Q44" s="2" t="s">
        <v>131</v>
      </c>
      <c r="R44" s="2" t="s">
        <v>2</v>
      </c>
      <c r="V44" s="2" t="s">
        <v>132</v>
      </c>
    </row>
    <row r="45" spans="1:22" ht="7.5" customHeight="1">
      <c r="A45" s="1" t="s">
        <v>75</v>
      </c>
      <c r="B45" s="15"/>
      <c r="D45" s="20"/>
      <c r="Q45" s="2" t="s">
        <v>133</v>
      </c>
      <c r="R45" s="2" t="s">
        <v>2</v>
      </c>
      <c r="V45" s="2" t="s">
        <v>134</v>
      </c>
    </row>
    <row r="46" spans="1:22" ht="15" customHeight="1">
      <c r="A46" s="1" t="s">
        <v>75</v>
      </c>
      <c r="B46" s="15" t="s">
        <v>135</v>
      </c>
      <c r="C46" s="2" t="s">
        <v>35</v>
      </c>
      <c r="D46" s="23" t="s">
        <v>6107</v>
      </c>
      <c r="E46" s="2" t="str">
        <f>""&amp;D46</f>
        <v>INS</v>
      </c>
      <c r="F46" s="2">
        <f>IF(AND(A46=PP_Country,D46=""),1,0)</f>
        <v>0</v>
      </c>
      <c r="Q46" s="2" t="s">
        <v>136</v>
      </c>
      <c r="R46" s="2" t="s">
        <v>2</v>
      </c>
      <c r="V46" s="2" t="s">
        <v>137</v>
      </c>
    </row>
    <row r="47" spans="1:22" ht="15" customHeight="1">
      <c r="A47" s="1" t="s">
        <v>75</v>
      </c>
      <c r="Q47" s="2" t="s">
        <v>138</v>
      </c>
      <c r="R47" s="2" t="s">
        <v>2</v>
      </c>
      <c r="V47" s="2" t="s">
        <v>139</v>
      </c>
    </row>
    <row r="48" spans="1:22" ht="15" hidden="1" customHeight="1">
      <c r="B48" s="2" t="s">
        <v>140</v>
      </c>
      <c r="D48" s="3" t="s">
        <v>141</v>
      </c>
      <c r="Q48" s="2" t="s">
        <v>142</v>
      </c>
      <c r="R48" s="2" t="s">
        <v>2</v>
      </c>
      <c r="V48" s="2" t="s">
        <v>143</v>
      </c>
    </row>
    <row r="49" spans="1:22" ht="15" hidden="1" customHeight="1">
      <c r="B49" s="15" t="s">
        <v>144</v>
      </c>
      <c r="D49" s="3" t="b">
        <v>1</v>
      </c>
      <c r="Q49" s="2" t="s">
        <v>145</v>
      </c>
      <c r="R49" s="2" t="s">
        <v>2</v>
      </c>
      <c r="V49" s="2" t="s">
        <v>146</v>
      </c>
    </row>
    <row r="50" spans="1:22" ht="15" hidden="1" customHeight="1">
      <c r="B50" s="2" t="s">
        <v>147</v>
      </c>
      <c r="D50" t="s">
        <v>148</v>
      </c>
      <c r="Q50" s="2" t="s">
        <v>149</v>
      </c>
      <c r="R50" s="2" t="s">
        <v>2</v>
      </c>
      <c r="V50" s="2" t="s">
        <v>150</v>
      </c>
    </row>
    <row r="51" spans="1:22" ht="15" hidden="1" customHeight="1">
      <c r="B51" s="2" t="s">
        <v>151</v>
      </c>
      <c r="D51" s="2" t="b">
        <v>0</v>
      </c>
      <c r="Q51" s="2" t="s">
        <v>152</v>
      </c>
      <c r="R51" s="2" t="s">
        <v>2</v>
      </c>
      <c r="V51" s="2" t="s">
        <v>153</v>
      </c>
    </row>
    <row r="52" spans="1:22" ht="15" hidden="1" customHeight="1">
      <c r="B52" s="2" t="s">
        <v>154</v>
      </c>
      <c r="D52" s="2" t="b">
        <v>0</v>
      </c>
      <c r="Q52" s="2" t="s">
        <v>155</v>
      </c>
      <c r="R52" s="2" t="s">
        <v>2</v>
      </c>
      <c r="V52" s="2" t="s">
        <v>156</v>
      </c>
    </row>
    <row r="53" spans="1:22" ht="17.25" customHeight="1">
      <c r="I53" s="32"/>
      <c r="J53" s="32"/>
      <c r="L53" s="13" t="s">
        <v>157</v>
      </c>
      <c r="M53" s="13" t="s">
        <v>158</v>
      </c>
      <c r="Q53" s="2" t="s">
        <v>159</v>
      </c>
      <c r="R53" s="2" t="s">
        <v>2</v>
      </c>
      <c r="V53" s="2" t="s">
        <v>160</v>
      </c>
    </row>
    <row r="54" spans="1:22" ht="15" hidden="1" customHeight="1">
      <c r="A54" s="1" t="s">
        <v>75</v>
      </c>
      <c r="H54" s="32"/>
      <c r="I54" s="32"/>
      <c r="J54" s="32"/>
      <c r="Q54" s="2" t="s">
        <v>161</v>
      </c>
      <c r="R54" s="2" t="s">
        <v>2</v>
      </c>
      <c r="V54" s="2" t="s">
        <v>162</v>
      </c>
    </row>
    <row r="55" spans="1:22" ht="15" hidden="1">
      <c r="A55" s="1" t="s">
        <v>75</v>
      </c>
      <c r="Q55" s="2" t="s">
        <v>163</v>
      </c>
      <c r="R55" s="2" t="s">
        <v>2</v>
      </c>
      <c r="V55" s="2" t="s">
        <v>164</v>
      </c>
    </row>
    <row r="56" spans="1:22" ht="15" hidden="1">
      <c r="Q56" s="2" t="s">
        <v>165</v>
      </c>
      <c r="R56" s="2" t="s">
        <v>2</v>
      </c>
      <c r="V56" s="2" t="s">
        <v>166</v>
      </c>
    </row>
    <row r="57" spans="1:22" ht="15" hidden="1">
      <c r="Q57" s="2" t="s">
        <v>167</v>
      </c>
      <c r="R57" s="2" t="s">
        <v>2</v>
      </c>
      <c r="V57" s="2" t="s">
        <v>168</v>
      </c>
    </row>
    <row r="58" spans="1:22" ht="15" hidden="1">
      <c r="Q58" s="2" t="s">
        <v>169</v>
      </c>
      <c r="R58" s="2" t="s">
        <v>2</v>
      </c>
      <c r="V58" s="2" t="s">
        <v>170</v>
      </c>
    </row>
    <row r="59" spans="1:22" ht="15" hidden="1">
      <c r="Q59" s="2" t="s">
        <v>171</v>
      </c>
      <c r="R59" s="2" t="s">
        <v>2</v>
      </c>
      <c r="V59" s="2" t="s">
        <v>172</v>
      </c>
    </row>
    <row r="60" spans="1:22" ht="15" hidden="1">
      <c r="Q60" s="2" t="s">
        <v>173</v>
      </c>
      <c r="R60" s="2" t="s">
        <v>2</v>
      </c>
      <c r="V60" s="2" t="s">
        <v>174</v>
      </c>
    </row>
    <row r="61" spans="1:22" ht="15" hidden="1">
      <c r="Q61" s="2" t="s">
        <v>175</v>
      </c>
      <c r="R61" s="2" t="s">
        <v>2</v>
      </c>
      <c r="V61" s="2" t="s">
        <v>176</v>
      </c>
    </row>
    <row r="62" spans="1:22" ht="15" hidden="1">
      <c r="Q62" s="2" t="s">
        <v>177</v>
      </c>
      <c r="R62" s="2" t="s">
        <v>2</v>
      </c>
      <c r="V62" s="2" t="s">
        <v>178</v>
      </c>
    </row>
    <row r="63" spans="1:22" ht="15" hidden="1">
      <c r="Q63" s="2" t="s">
        <v>179</v>
      </c>
      <c r="R63" s="2" t="s">
        <v>2</v>
      </c>
      <c r="V63" s="2" t="s">
        <v>180</v>
      </c>
    </row>
    <row r="64" spans="1:22" ht="15" hidden="1">
      <c r="Q64" s="2" t="s">
        <v>181</v>
      </c>
      <c r="R64" s="2" t="s">
        <v>2</v>
      </c>
      <c r="V64" s="2" t="s">
        <v>182</v>
      </c>
    </row>
    <row r="65" spans="17:22" ht="15" hidden="1">
      <c r="Q65" s="2" t="s">
        <v>183</v>
      </c>
      <c r="R65" s="2" t="s">
        <v>2</v>
      </c>
      <c r="V65" s="2" t="s">
        <v>184</v>
      </c>
    </row>
    <row r="66" spans="17:22" ht="15" hidden="1">
      <c r="Q66" s="2" t="s">
        <v>185</v>
      </c>
      <c r="R66" s="2" t="s">
        <v>2</v>
      </c>
      <c r="V66" s="2" t="s">
        <v>186</v>
      </c>
    </row>
    <row r="67" spans="17:22" ht="15" hidden="1">
      <c r="Q67" s="2" t="s">
        <v>187</v>
      </c>
      <c r="R67" s="2" t="s">
        <v>2</v>
      </c>
      <c r="V67" s="2" t="s">
        <v>188</v>
      </c>
    </row>
    <row r="68" spans="17:22" ht="15" hidden="1">
      <c r="Q68" s="2" t="s">
        <v>189</v>
      </c>
      <c r="R68" s="2" t="s">
        <v>2</v>
      </c>
      <c r="V68" s="2" t="s">
        <v>190</v>
      </c>
    </row>
    <row r="69" spans="17:22" ht="15" hidden="1">
      <c r="Q69" s="2" t="s">
        <v>191</v>
      </c>
      <c r="R69" s="2" t="s">
        <v>2</v>
      </c>
      <c r="V69" s="2" t="s">
        <v>192</v>
      </c>
    </row>
    <row r="70" spans="17:22" ht="15" hidden="1">
      <c r="Q70" s="2" t="s">
        <v>193</v>
      </c>
      <c r="R70" s="2" t="s">
        <v>2</v>
      </c>
      <c r="V70" s="2" t="s">
        <v>194</v>
      </c>
    </row>
    <row r="71" spans="17:22" ht="15" hidden="1">
      <c r="Q71" s="2" t="s">
        <v>195</v>
      </c>
      <c r="R71" s="2" t="s">
        <v>2</v>
      </c>
      <c r="V71" s="2" t="s">
        <v>196</v>
      </c>
    </row>
    <row r="72" spans="17:22" ht="15" hidden="1">
      <c r="Q72" s="2" t="s">
        <v>197</v>
      </c>
      <c r="R72" s="2" t="s">
        <v>2</v>
      </c>
      <c r="V72" s="2" t="s">
        <v>198</v>
      </c>
    </row>
    <row r="73" spans="17:22" ht="15" hidden="1">
      <c r="Q73" s="2" t="s">
        <v>199</v>
      </c>
      <c r="R73" s="2" t="s">
        <v>2</v>
      </c>
      <c r="V73" s="2" t="s">
        <v>200</v>
      </c>
    </row>
    <row r="74" spans="17:22" ht="15" hidden="1">
      <c r="Q74" s="2" t="s">
        <v>201</v>
      </c>
      <c r="R74" s="2" t="s">
        <v>2</v>
      </c>
      <c r="V74" s="2" t="s">
        <v>202</v>
      </c>
    </row>
    <row r="75" spans="17:22" ht="15" hidden="1">
      <c r="Q75" s="2" t="s">
        <v>203</v>
      </c>
      <c r="R75" s="2" t="s">
        <v>2</v>
      </c>
      <c r="V75" s="2" t="s">
        <v>204</v>
      </c>
    </row>
    <row r="76" spans="17:22" ht="15" hidden="1">
      <c r="Q76" s="2" t="s">
        <v>205</v>
      </c>
      <c r="R76" s="2" t="s">
        <v>2</v>
      </c>
      <c r="V76" s="2" t="s">
        <v>206</v>
      </c>
    </row>
    <row r="77" spans="17:22" ht="15" hidden="1">
      <c r="Q77" s="2" t="s">
        <v>207</v>
      </c>
      <c r="R77" s="2" t="s">
        <v>2</v>
      </c>
      <c r="V77" s="2" t="s">
        <v>208</v>
      </c>
    </row>
    <row r="78" spans="17:22" ht="15" hidden="1">
      <c r="Q78" s="2" t="s">
        <v>209</v>
      </c>
      <c r="R78" s="2" t="s">
        <v>2</v>
      </c>
      <c r="V78" s="2" t="s">
        <v>210</v>
      </c>
    </row>
    <row r="79" spans="17:22" ht="15" hidden="1">
      <c r="Q79" s="2" t="s">
        <v>211</v>
      </c>
      <c r="R79" s="2" t="s">
        <v>2</v>
      </c>
      <c r="V79" s="2" t="s">
        <v>212</v>
      </c>
    </row>
    <row r="80" spans="17:22" ht="15" hidden="1">
      <c r="Q80" s="2" t="s">
        <v>213</v>
      </c>
      <c r="R80" s="2" t="s">
        <v>2</v>
      </c>
      <c r="V80" s="2" t="s">
        <v>214</v>
      </c>
    </row>
    <row r="81" spans="17:22" ht="15" hidden="1">
      <c r="Q81" s="2" t="s">
        <v>215</v>
      </c>
      <c r="R81" s="2" t="s">
        <v>2</v>
      </c>
      <c r="V81" s="2" t="s">
        <v>216</v>
      </c>
    </row>
    <row r="82" spans="17:22" ht="15" hidden="1">
      <c r="Q82" s="2" t="s">
        <v>217</v>
      </c>
      <c r="R82" s="2" t="s">
        <v>2</v>
      </c>
      <c r="V82" s="2" t="s">
        <v>218</v>
      </c>
    </row>
    <row r="83" spans="17:22" ht="15" hidden="1">
      <c r="Q83" s="2" t="s">
        <v>219</v>
      </c>
      <c r="R83" s="2" t="s">
        <v>2</v>
      </c>
      <c r="V83" s="2" t="s">
        <v>220</v>
      </c>
    </row>
    <row r="84" spans="17:22" ht="15" hidden="1">
      <c r="Q84" s="2" t="s">
        <v>221</v>
      </c>
      <c r="R84" s="2" t="s">
        <v>2</v>
      </c>
      <c r="V84" s="2" t="s">
        <v>222</v>
      </c>
    </row>
    <row r="85" spans="17:22" ht="15" hidden="1">
      <c r="Q85" s="2" t="s">
        <v>223</v>
      </c>
      <c r="R85" s="2" t="s">
        <v>2</v>
      </c>
      <c r="V85" s="2" t="s">
        <v>224</v>
      </c>
    </row>
    <row r="86" spans="17:22" ht="15" hidden="1">
      <c r="Q86" s="2" t="s">
        <v>225</v>
      </c>
      <c r="R86" s="2" t="s">
        <v>2</v>
      </c>
      <c r="V86" s="2" t="s">
        <v>226</v>
      </c>
    </row>
    <row r="87" spans="17:22" ht="15" hidden="1">
      <c r="Q87" s="2" t="s">
        <v>227</v>
      </c>
      <c r="R87" s="2" t="s">
        <v>2</v>
      </c>
      <c r="V87" s="2" t="s">
        <v>228</v>
      </c>
    </row>
    <row r="88" spans="17:22" ht="15" hidden="1">
      <c r="Q88" s="2" t="s">
        <v>229</v>
      </c>
      <c r="R88" s="2" t="s">
        <v>2</v>
      </c>
      <c r="V88" s="2" t="s">
        <v>230</v>
      </c>
    </row>
    <row r="89" spans="17:22" ht="15" hidden="1">
      <c r="Q89" s="2" t="s">
        <v>231</v>
      </c>
      <c r="R89" s="2" t="s">
        <v>2</v>
      </c>
      <c r="V89" s="2" t="s">
        <v>232</v>
      </c>
    </row>
    <row r="90" spans="17:22" ht="15" hidden="1">
      <c r="Q90" s="2" t="s">
        <v>233</v>
      </c>
      <c r="R90" s="2" t="s">
        <v>2</v>
      </c>
      <c r="V90" s="2" t="s">
        <v>234</v>
      </c>
    </row>
    <row r="91" spans="17:22" ht="15" hidden="1">
      <c r="Q91" s="2" t="s">
        <v>235</v>
      </c>
      <c r="R91" s="2" t="s">
        <v>2</v>
      </c>
      <c r="V91" s="2" t="s">
        <v>236</v>
      </c>
    </row>
    <row r="92" spans="17:22" ht="15" hidden="1">
      <c r="Q92" s="2" t="s">
        <v>237</v>
      </c>
      <c r="R92" s="2" t="s">
        <v>2</v>
      </c>
      <c r="V92" s="2" t="s">
        <v>238</v>
      </c>
    </row>
    <row r="93" spans="17:22" ht="15" hidden="1">
      <c r="Q93" s="2" t="s">
        <v>239</v>
      </c>
      <c r="R93" s="2" t="s">
        <v>2</v>
      </c>
      <c r="V93" s="2" t="s">
        <v>240</v>
      </c>
    </row>
    <row r="94" spans="17:22" ht="15" hidden="1">
      <c r="Q94" s="2" t="s">
        <v>241</v>
      </c>
      <c r="R94" s="2" t="s">
        <v>2</v>
      </c>
      <c r="V94" s="2" t="s">
        <v>242</v>
      </c>
    </row>
    <row r="95" spans="17:22" ht="15" hidden="1">
      <c r="Q95" s="2" t="s">
        <v>243</v>
      </c>
      <c r="R95" s="2" t="s">
        <v>2</v>
      </c>
      <c r="V95" s="2" t="s">
        <v>244</v>
      </c>
    </row>
    <row r="96" spans="17:22" ht="15" hidden="1">
      <c r="Q96" s="2" t="s">
        <v>245</v>
      </c>
      <c r="R96" s="2" t="s">
        <v>2</v>
      </c>
      <c r="V96" s="2" t="s">
        <v>246</v>
      </c>
    </row>
    <row r="97" spans="17:22" ht="15" hidden="1">
      <c r="Q97" s="2" t="s">
        <v>247</v>
      </c>
      <c r="R97" s="2" t="s">
        <v>2</v>
      </c>
      <c r="V97" s="2" t="s">
        <v>248</v>
      </c>
    </row>
    <row r="98" spans="17:22" ht="15" hidden="1">
      <c r="Q98" s="2" t="s">
        <v>249</v>
      </c>
      <c r="R98" s="2" t="s">
        <v>2</v>
      </c>
      <c r="V98" s="2" t="s">
        <v>250</v>
      </c>
    </row>
    <row r="99" spans="17:22" ht="15" hidden="1">
      <c r="Q99" s="2" t="s">
        <v>251</v>
      </c>
      <c r="R99" s="2" t="s">
        <v>2</v>
      </c>
      <c r="V99" s="2" t="s">
        <v>252</v>
      </c>
    </row>
    <row r="100" spans="17:22" ht="15" hidden="1">
      <c r="Q100" s="2" t="s">
        <v>253</v>
      </c>
      <c r="R100" s="2" t="s">
        <v>2</v>
      </c>
      <c r="V100" s="2" t="s">
        <v>254</v>
      </c>
    </row>
    <row r="101" spans="17:22" ht="15" hidden="1">
      <c r="Q101" s="2" t="s">
        <v>255</v>
      </c>
      <c r="R101" s="2" t="s">
        <v>2</v>
      </c>
      <c r="V101" s="2" t="s">
        <v>256</v>
      </c>
    </row>
    <row r="102" spans="17:22" ht="15" hidden="1">
      <c r="Q102" s="2" t="s">
        <v>257</v>
      </c>
      <c r="R102" s="2" t="s">
        <v>2</v>
      </c>
      <c r="V102" s="2" t="s">
        <v>258</v>
      </c>
    </row>
    <row r="103" spans="17:22" ht="15" hidden="1">
      <c r="Q103" s="2" t="s">
        <v>259</v>
      </c>
      <c r="R103" s="2" t="s">
        <v>2</v>
      </c>
      <c r="V103" s="2" t="s">
        <v>260</v>
      </c>
    </row>
    <row r="104" spans="17:22" ht="15" hidden="1">
      <c r="Q104" s="2" t="s">
        <v>261</v>
      </c>
      <c r="R104" s="2" t="s">
        <v>2</v>
      </c>
      <c r="V104" s="2" t="s">
        <v>262</v>
      </c>
    </row>
    <row r="105" spans="17:22" ht="15" hidden="1">
      <c r="Q105" s="2" t="s">
        <v>263</v>
      </c>
      <c r="R105" s="2" t="s">
        <v>2</v>
      </c>
      <c r="V105" s="2" t="s">
        <v>264</v>
      </c>
    </row>
    <row r="106" spans="17:22" ht="15" hidden="1">
      <c r="Q106" s="2" t="s">
        <v>265</v>
      </c>
      <c r="R106" s="2" t="s">
        <v>2</v>
      </c>
      <c r="V106" s="2" t="s">
        <v>266</v>
      </c>
    </row>
    <row r="107" spans="17:22" ht="15" hidden="1">
      <c r="Q107" s="2" t="s">
        <v>267</v>
      </c>
      <c r="R107" s="2" t="s">
        <v>2</v>
      </c>
      <c r="V107" s="2" t="s">
        <v>268</v>
      </c>
    </row>
    <row r="108" spans="17:22" ht="15" hidden="1">
      <c r="Q108" s="2" t="s">
        <v>269</v>
      </c>
      <c r="R108" s="2" t="s">
        <v>2</v>
      </c>
      <c r="V108" s="2" t="s">
        <v>270</v>
      </c>
    </row>
    <row r="109" spans="17:22" ht="15" hidden="1">
      <c r="Q109" s="2" t="s">
        <v>271</v>
      </c>
      <c r="R109" s="2" t="s">
        <v>2</v>
      </c>
      <c r="V109" s="2" t="s">
        <v>272</v>
      </c>
    </row>
    <row r="110" spans="17:22" ht="15" hidden="1">
      <c r="Q110" s="2" t="s">
        <v>273</v>
      </c>
      <c r="R110" s="2" t="s">
        <v>2</v>
      </c>
      <c r="V110" s="2" t="s">
        <v>274</v>
      </c>
    </row>
    <row r="111" spans="17:22" ht="15" hidden="1">
      <c r="Q111" s="2" t="s">
        <v>275</v>
      </c>
      <c r="R111" s="2" t="s">
        <v>2</v>
      </c>
      <c r="V111" s="2" t="s">
        <v>276</v>
      </c>
    </row>
    <row r="112" spans="17:22" ht="15" hidden="1">
      <c r="Q112" s="2" t="s">
        <v>277</v>
      </c>
      <c r="R112" s="2" t="s">
        <v>2</v>
      </c>
      <c r="V112" s="2" t="s">
        <v>278</v>
      </c>
    </row>
    <row r="113" spans="17:22" ht="15" hidden="1">
      <c r="Q113" s="2" t="s">
        <v>279</v>
      </c>
      <c r="R113" s="2" t="s">
        <v>2</v>
      </c>
      <c r="V113" s="2" t="s">
        <v>280</v>
      </c>
    </row>
    <row r="114" spans="17:22" ht="15" hidden="1">
      <c r="Q114" s="2" t="s">
        <v>281</v>
      </c>
      <c r="R114" s="2" t="s">
        <v>2</v>
      </c>
      <c r="V114" s="2" t="s">
        <v>282</v>
      </c>
    </row>
    <row r="115" spans="17:22" ht="15" hidden="1">
      <c r="Q115" s="2" t="s">
        <v>283</v>
      </c>
      <c r="R115" s="2" t="s">
        <v>2</v>
      </c>
      <c r="V115" s="2" t="s">
        <v>284</v>
      </c>
    </row>
    <row r="116" spans="17:22" ht="15" hidden="1">
      <c r="Q116" s="2" t="s">
        <v>285</v>
      </c>
      <c r="R116" s="2" t="s">
        <v>2</v>
      </c>
      <c r="V116" s="2" t="s">
        <v>286</v>
      </c>
    </row>
    <row r="117" spans="17:22" ht="15" hidden="1">
      <c r="Q117" s="2" t="s">
        <v>287</v>
      </c>
      <c r="R117" s="2" t="s">
        <v>2</v>
      </c>
      <c r="V117" s="2" t="s">
        <v>288</v>
      </c>
    </row>
    <row r="118" spans="17:22" ht="15" hidden="1">
      <c r="Q118" s="2" t="s">
        <v>289</v>
      </c>
      <c r="R118" s="2" t="s">
        <v>2</v>
      </c>
      <c r="V118" s="2" t="s">
        <v>290</v>
      </c>
    </row>
    <row r="119" spans="17:22" ht="15" hidden="1">
      <c r="Q119" s="2" t="s">
        <v>291</v>
      </c>
      <c r="R119" s="2" t="s">
        <v>2</v>
      </c>
      <c r="V119" s="2" t="s">
        <v>292</v>
      </c>
    </row>
    <row r="120" spans="17:22" ht="15" hidden="1">
      <c r="Q120" s="2" t="s">
        <v>293</v>
      </c>
      <c r="R120" s="2" t="s">
        <v>2</v>
      </c>
      <c r="V120" s="2" t="s">
        <v>294</v>
      </c>
    </row>
    <row r="121" spans="17:22" ht="15" hidden="1">
      <c r="Q121" s="2" t="s">
        <v>295</v>
      </c>
      <c r="R121" s="2" t="s">
        <v>2</v>
      </c>
      <c r="V121" s="2" t="s">
        <v>296</v>
      </c>
    </row>
    <row r="122" spans="17:22" ht="15" hidden="1">
      <c r="Q122" s="2" t="s">
        <v>297</v>
      </c>
      <c r="R122" s="2" t="s">
        <v>2</v>
      </c>
      <c r="V122" s="2" t="s">
        <v>298</v>
      </c>
    </row>
    <row r="123" spans="17:22" ht="15" hidden="1">
      <c r="Q123" s="2" t="s">
        <v>299</v>
      </c>
      <c r="R123" s="2" t="s">
        <v>2</v>
      </c>
      <c r="V123" s="2" t="s">
        <v>300</v>
      </c>
    </row>
    <row r="124" spans="17:22" ht="15" hidden="1">
      <c r="Q124" s="2" t="s">
        <v>301</v>
      </c>
      <c r="R124" s="2" t="s">
        <v>2</v>
      </c>
      <c r="V124" s="2" t="s">
        <v>302</v>
      </c>
    </row>
    <row r="125" spans="17:22" ht="15" hidden="1">
      <c r="Q125" s="2" t="s">
        <v>303</v>
      </c>
      <c r="R125" s="2" t="s">
        <v>2</v>
      </c>
      <c r="V125" s="2" t="s">
        <v>304</v>
      </c>
    </row>
    <row r="126" spans="17:22" ht="15" hidden="1">
      <c r="Q126" s="2" t="s">
        <v>305</v>
      </c>
      <c r="R126" s="2" t="s">
        <v>306</v>
      </c>
      <c r="V126" s="2" t="s">
        <v>307</v>
      </c>
    </row>
    <row r="127" spans="17:22" ht="15" hidden="1">
      <c r="Q127" s="2" t="s">
        <v>308</v>
      </c>
      <c r="R127" s="2" t="s">
        <v>2</v>
      </c>
      <c r="V127" s="2" t="s">
        <v>309</v>
      </c>
    </row>
    <row r="128" spans="17:22" ht="15" hidden="1">
      <c r="Q128" s="2" t="s">
        <v>310</v>
      </c>
      <c r="R128" s="2" t="s">
        <v>2</v>
      </c>
      <c r="V128" s="2" t="s">
        <v>311</v>
      </c>
    </row>
    <row r="129" spans="17:22" ht="15" hidden="1">
      <c r="Q129" s="2" t="s">
        <v>312</v>
      </c>
      <c r="R129" s="2" t="s">
        <v>2</v>
      </c>
      <c r="V129" s="2" t="s">
        <v>313</v>
      </c>
    </row>
    <row r="130" spans="17:22" ht="15" hidden="1">
      <c r="Q130" s="2" t="s">
        <v>314</v>
      </c>
      <c r="R130" s="2" t="s">
        <v>2</v>
      </c>
      <c r="V130" s="2" t="s">
        <v>315</v>
      </c>
    </row>
    <row r="131" spans="17:22" ht="15" hidden="1">
      <c r="Q131" s="2" t="s">
        <v>316</v>
      </c>
      <c r="R131" s="2" t="s">
        <v>2</v>
      </c>
      <c r="V131" s="2" t="s">
        <v>317</v>
      </c>
    </row>
    <row r="132" spans="17:22" ht="15" hidden="1">
      <c r="Q132" s="2" t="s">
        <v>318</v>
      </c>
      <c r="R132" s="2" t="s">
        <v>2</v>
      </c>
      <c r="V132" s="2" t="s">
        <v>319</v>
      </c>
    </row>
    <row r="133" spans="17:22" ht="15" hidden="1">
      <c r="Q133" s="2" t="s">
        <v>320</v>
      </c>
      <c r="R133" s="2" t="s">
        <v>2</v>
      </c>
      <c r="V133" s="2" t="s">
        <v>321</v>
      </c>
    </row>
    <row r="134" spans="17:22" ht="15" hidden="1">
      <c r="Q134" s="2" t="s">
        <v>322</v>
      </c>
      <c r="R134" s="2" t="s">
        <v>2</v>
      </c>
      <c r="V134" s="2" t="s">
        <v>323</v>
      </c>
    </row>
    <row r="135" spans="17:22" ht="15" hidden="1">
      <c r="Q135" s="2" t="s">
        <v>324</v>
      </c>
      <c r="R135" s="2" t="s">
        <v>2</v>
      </c>
      <c r="V135" s="2" t="s">
        <v>325</v>
      </c>
    </row>
    <row r="136" spans="17:22" ht="15" hidden="1">
      <c r="Q136" s="2" t="s">
        <v>326</v>
      </c>
      <c r="R136" s="2" t="s">
        <v>2</v>
      </c>
      <c r="V136" s="2" t="s">
        <v>327</v>
      </c>
    </row>
    <row r="137" spans="17:22" ht="15" hidden="1">
      <c r="Q137" s="2" t="s">
        <v>328</v>
      </c>
      <c r="R137" s="2" t="s">
        <v>2</v>
      </c>
      <c r="V137" s="2" t="s">
        <v>329</v>
      </c>
    </row>
    <row r="138" spans="17:22" ht="15" hidden="1">
      <c r="Q138" s="2" t="s">
        <v>330</v>
      </c>
      <c r="R138" s="2" t="s">
        <v>2</v>
      </c>
      <c r="V138" s="2" t="s">
        <v>331</v>
      </c>
    </row>
    <row r="139" spans="17:22" ht="15" hidden="1">
      <c r="Q139" s="2" t="s">
        <v>332</v>
      </c>
      <c r="R139" s="2" t="s">
        <v>2</v>
      </c>
      <c r="V139" s="2" t="s">
        <v>333</v>
      </c>
    </row>
    <row r="140" spans="17:22" ht="15" hidden="1">
      <c r="Q140" s="2" t="s">
        <v>334</v>
      </c>
      <c r="R140" s="2" t="s">
        <v>2</v>
      </c>
      <c r="V140" s="2" t="s">
        <v>335</v>
      </c>
    </row>
    <row r="141" spans="17:22" ht="15" hidden="1">
      <c r="Q141" s="2" t="s">
        <v>336</v>
      </c>
      <c r="R141" s="2" t="s">
        <v>2</v>
      </c>
      <c r="V141" s="2" t="s">
        <v>337</v>
      </c>
    </row>
    <row r="142" spans="17:22" ht="15" hidden="1">
      <c r="Q142" s="2" t="s">
        <v>338</v>
      </c>
      <c r="R142" s="2" t="s">
        <v>2</v>
      </c>
      <c r="V142" s="2" t="s">
        <v>339</v>
      </c>
    </row>
    <row r="143" spans="17:22" ht="15" hidden="1">
      <c r="Q143" s="2" t="s">
        <v>340</v>
      </c>
      <c r="R143" s="2" t="s">
        <v>2</v>
      </c>
      <c r="V143" s="2" t="s">
        <v>341</v>
      </c>
    </row>
    <row r="144" spans="17:22" ht="15" hidden="1">
      <c r="Q144" s="2" t="s">
        <v>342</v>
      </c>
      <c r="R144" s="2" t="s">
        <v>2</v>
      </c>
      <c r="V144" s="2" t="s">
        <v>343</v>
      </c>
    </row>
    <row r="145" spans="17:22" ht="15" hidden="1">
      <c r="Q145" s="2" t="s">
        <v>344</v>
      </c>
      <c r="R145" s="2" t="s">
        <v>2</v>
      </c>
      <c r="V145" s="2" t="s">
        <v>345</v>
      </c>
    </row>
    <row r="146" spans="17:22" ht="15" hidden="1">
      <c r="Q146" s="2" t="s">
        <v>346</v>
      </c>
      <c r="R146" s="2" t="s">
        <v>2</v>
      </c>
      <c r="V146" s="2" t="s">
        <v>347</v>
      </c>
    </row>
    <row r="147" spans="17:22" ht="15" hidden="1">
      <c r="Q147" s="2" t="s">
        <v>348</v>
      </c>
      <c r="R147" s="2" t="s">
        <v>2</v>
      </c>
      <c r="V147" s="2" t="s">
        <v>349</v>
      </c>
    </row>
    <row r="148" spans="17:22" ht="15" hidden="1">
      <c r="Q148" s="2" t="s">
        <v>350</v>
      </c>
      <c r="R148" s="2" t="s">
        <v>2</v>
      </c>
      <c r="V148" s="2" t="s">
        <v>351</v>
      </c>
    </row>
    <row r="149" spans="17:22" ht="15" hidden="1">
      <c r="Q149" s="2" t="s">
        <v>352</v>
      </c>
      <c r="R149" s="2" t="s">
        <v>2</v>
      </c>
      <c r="V149" s="2" t="s">
        <v>353</v>
      </c>
    </row>
    <row r="150" spans="17:22" ht="15" hidden="1">
      <c r="Q150" s="2" t="s">
        <v>354</v>
      </c>
      <c r="R150" s="2" t="s">
        <v>2</v>
      </c>
      <c r="V150" s="2" t="s">
        <v>355</v>
      </c>
    </row>
    <row r="151" spans="17:22" ht="15" hidden="1">
      <c r="Q151" s="2" t="s">
        <v>356</v>
      </c>
      <c r="R151" s="2" t="s">
        <v>2</v>
      </c>
      <c r="V151" s="2" t="s">
        <v>357</v>
      </c>
    </row>
    <row r="152" spans="17:22" ht="15" hidden="1">
      <c r="Q152" s="2" t="s">
        <v>358</v>
      </c>
      <c r="R152" s="2" t="s">
        <v>2</v>
      </c>
      <c r="V152" s="2" t="s">
        <v>359</v>
      </c>
    </row>
    <row r="153" spans="17:22" ht="15" hidden="1">
      <c r="Q153" s="2" t="s">
        <v>360</v>
      </c>
      <c r="R153" s="2" t="s">
        <v>2</v>
      </c>
      <c r="V153" s="2" t="s">
        <v>361</v>
      </c>
    </row>
    <row r="154" spans="17:22" ht="15" hidden="1">
      <c r="Q154" s="2" t="s">
        <v>362</v>
      </c>
      <c r="R154" s="2" t="s">
        <v>2</v>
      </c>
      <c r="V154" s="2" t="s">
        <v>363</v>
      </c>
    </row>
    <row r="155" spans="17:22" ht="15" hidden="1">
      <c r="Q155" s="2" t="s">
        <v>364</v>
      </c>
      <c r="R155" s="2" t="s">
        <v>2</v>
      </c>
      <c r="V155" s="2" t="s">
        <v>365</v>
      </c>
    </row>
    <row r="156" spans="17:22" ht="15" hidden="1">
      <c r="Q156" s="2" t="s">
        <v>366</v>
      </c>
      <c r="R156" s="2" t="s">
        <v>2</v>
      </c>
      <c r="V156" s="2" t="s">
        <v>367</v>
      </c>
    </row>
    <row r="157" spans="17:22" ht="15" hidden="1">
      <c r="Q157" s="2" t="s">
        <v>368</v>
      </c>
      <c r="R157" s="2" t="s">
        <v>2</v>
      </c>
      <c r="V157" s="2" t="s">
        <v>369</v>
      </c>
    </row>
    <row r="158" spans="17:22" ht="15" hidden="1">
      <c r="Q158" s="2" t="s">
        <v>370</v>
      </c>
      <c r="R158" s="2" t="s">
        <v>2</v>
      </c>
      <c r="V158" s="2" t="s">
        <v>371</v>
      </c>
    </row>
    <row r="159" spans="17:22" ht="15" hidden="1">
      <c r="Q159" s="2" t="s">
        <v>372</v>
      </c>
      <c r="R159" s="2" t="s">
        <v>2</v>
      </c>
      <c r="V159" s="2" t="s">
        <v>373</v>
      </c>
    </row>
    <row r="160" spans="17:22" ht="15" hidden="1">
      <c r="Q160" s="2" t="s">
        <v>374</v>
      </c>
      <c r="R160" s="2" t="s">
        <v>2</v>
      </c>
    </row>
    <row r="161" spans="17:18" ht="15" hidden="1">
      <c r="Q161" s="2" t="s">
        <v>375</v>
      </c>
      <c r="R161" s="2" t="s">
        <v>2</v>
      </c>
    </row>
    <row r="162" spans="17:18" ht="15" hidden="1">
      <c r="Q162" s="2" t="s">
        <v>376</v>
      </c>
      <c r="R162" s="2" t="s">
        <v>377</v>
      </c>
    </row>
    <row r="163" spans="17:18" ht="15" hidden="1">
      <c r="Q163" s="2" t="s">
        <v>378</v>
      </c>
      <c r="R163" s="2" t="s">
        <v>2</v>
      </c>
    </row>
    <row r="164" spans="17:18" ht="15" hidden="1">
      <c r="Q164" s="2" t="s">
        <v>379</v>
      </c>
      <c r="R164" s="2" t="s">
        <v>2</v>
      </c>
    </row>
    <row r="165" spans="17:18" ht="15" hidden="1">
      <c r="Q165" s="2" t="s">
        <v>380</v>
      </c>
      <c r="R165" s="2" t="s">
        <v>2</v>
      </c>
    </row>
    <row r="166" spans="17:18" ht="15" hidden="1">
      <c r="Q166" s="2" t="s">
        <v>381</v>
      </c>
      <c r="R166" s="2" t="s">
        <v>2</v>
      </c>
    </row>
    <row r="167" spans="17:18" ht="15" hidden="1">
      <c r="Q167" s="2" t="s">
        <v>382</v>
      </c>
      <c r="R167" s="2" t="s">
        <v>2</v>
      </c>
    </row>
    <row r="168" spans="17:18" ht="15" hidden="1">
      <c r="Q168" s="2" t="s">
        <v>383</v>
      </c>
      <c r="R168" s="2" t="s">
        <v>2</v>
      </c>
    </row>
    <row r="169" spans="17:18" ht="15" hidden="1">
      <c r="Q169" s="2" t="s">
        <v>384</v>
      </c>
      <c r="R169" s="2" t="s">
        <v>2</v>
      </c>
    </row>
    <row r="170" spans="17:18" ht="15" hidden="1">
      <c r="Q170" s="2" t="s">
        <v>385</v>
      </c>
      <c r="R170" s="2" t="s">
        <v>2</v>
      </c>
    </row>
    <row r="171" spans="17:18" ht="15" hidden="1">
      <c r="Q171" s="2" t="s">
        <v>386</v>
      </c>
      <c r="R171" s="2" t="s">
        <v>2</v>
      </c>
    </row>
    <row r="172" spans="17:18" ht="15" hidden="1">
      <c r="Q172" s="2" t="s">
        <v>387</v>
      </c>
      <c r="R172" s="2" t="s">
        <v>2</v>
      </c>
    </row>
    <row r="173" spans="17:18" ht="15" hidden="1">
      <c r="Q173" s="2" t="s">
        <v>388</v>
      </c>
      <c r="R173" s="2" t="s">
        <v>2</v>
      </c>
    </row>
    <row r="174" spans="17:18" ht="15" hidden="1">
      <c r="Q174" s="2" t="s">
        <v>389</v>
      </c>
      <c r="R174" s="2" t="s">
        <v>2</v>
      </c>
    </row>
    <row r="175" spans="17:18" ht="15" hidden="1">
      <c r="Q175" s="2" t="s">
        <v>390</v>
      </c>
      <c r="R175" s="2" t="s">
        <v>2</v>
      </c>
    </row>
    <row r="176" spans="17:18" ht="15" hidden="1">
      <c r="Q176" s="2" t="s">
        <v>391</v>
      </c>
      <c r="R176" s="2" t="s">
        <v>2</v>
      </c>
    </row>
    <row r="177" spans="17:18" ht="15" hidden="1">
      <c r="Q177" s="2" t="s">
        <v>392</v>
      </c>
      <c r="R177" s="2" t="s">
        <v>2</v>
      </c>
    </row>
    <row r="178" spans="17:18" ht="15" hidden="1">
      <c r="Q178" s="2" t="s">
        <v>393</v>
      </c>
      <c r="R178" s="2" t="s">
        <v>2</v>
      </c>
    </row>
    <row r="179" spans="17:18" ht="15" hidden="1">
      <c r="Q179" s="2" t="s">
        <v>394</v>
      </c>
      <c r="R179" s="2" t="s">
        <v>2</v>
      </c>
    </row>
    <row r="180" spans="17:18" ht="15" hidden="1">
      <c r="Q180" s="2" t="s">
        <v>395</v>
      </c>
      <c r="R180" s="2" t="s">
        <v>2</v>
      </c>
    </row>
    <row r="181" spans="17:18" ht="15" hidden="1">
      <c r="Q181" s="2" t="s">
        <v>396</v>
      </c>
      <c r="R181" s="2" t="s">
        <v>2</v>
      </c>
    </row>
    <row r="182" spans="17:18" ht="15" hidden="1">
      <c r="Q182" s="2" t="s">
        <v>397</v>
      </c>
      <c r="R182" s="2" t="s">
        <v>2</v>
      </c>
    </row>
    <row r="183" spans="17:18" ht="15" hidden="1">
      <c r="Q183" s="2" t="s">
        <v>398</v>
      </c>
      <c r="R183" s="2" t="s">
        <v>2</v>
      </c>
    </row>
    <row r="184" spans="17:18" ht="15" hidden="1">
      <c r="Q184" s="2" t="s">
        <v>399</v>
      </c>
      <c r="R184" s="2" t="s">
        <v>2</v>
      </c>
    </row>
    <row r="185" spans="17:18" ht="15" hidden="1">
      <c r="Q185" s="2" t="s">
        <v>400</v>
      </c>
      <c r="R185" s="2" t="s">
        <v>2</v>
      </c>
    </row>
    <row r="186" spans="17:18" ht="15" hidden="1">
      <c r="Q186" s="2" t="s">
        <v>401</v>
      </c>
      <c r="R186" s="2" t="s">
        <v>2</v>
      </c>
    </row>
    <row r="187" spans="17:18" ht="15" hidden="1">
      <c r="Q187" s="2" t="s">
        <v>402</v>
      </c>
      <c r="R187" s="2" t="s">
        <v>2</v>
      </c>
    </row>
    <row r="188" spans="17:18" ht="15" hidden="1">
      <c r="Q188" s="2" t="s">
        <v>403</v>
      </c>
      <c r="R188" s="2" t="s">
        <v>2</v>
      </c>
    </row>
    <row r="189" spans="17:18" ht="15" hidden="1">
      <c r="Q189" s="2" t="s">
        <v>404</v>
      </c>
      <c r="R189" s="2" t="s">
        <v>2</v>
      </c>
    </row>
    <row r="190" spans="17:18" ht="15" hidden="1">
      <c r="Q190" s="2" t="s">
        <v>405</v>
      </c>
      <c r="R190" s="2" t="s">
        <v>2</v>
      </c>
    </row>
    <row r="191" spans="17:18" ht="15" hidden="1">
      <c r="Q191" s="2" t="s">
        <v>406</v>
      </c>
      <c r="R191" s="2" t="s">
        <v>2</v>
      </c>
    </row>
    <row r="192" spans="17:18" ht="15" hidden="1">
      <c r="Q192" s="2" t="s">
        <v>407</v>
      </c>
      <c r="R192" s="2" t="s">
        <v>2</v>
      </c>
    </row>
    <row r="193" spans="17:18" ht="15" hidden="1">
      <c r="Q193" s="2" t="s">
        <v>408</v>
      </c>
      <c r="R193" s="2" t="s">
        <v>2</v>
      </c>
    </row>
    <row r="194" spans="17:18" ht="15" hidden="1">
      <c r="Q194" s="2" t="s">
        <v>409</v>
      </c>
      <c r="R194" s="2" t="s">
        <v>2</v>
      </c>
    </row>
    <row r="195" spans="17:18" ht="15" hidden="1">
      <c r="Q195" s="2" t="s">
        <v>410</v>
      </c>
      <c r="R195" s="2" t="s">
        <v>2</v>
      </c>
    </row>
    <row r="196" spans="17:18" ht="15" hidden="1">
      <c r="Q196" s="2" t="s">
        <v>411</v>
      </c>
      <c r="R196" s="2" t="s">
        <v>2</v>
      </c>
    </row>
    <row r="197" spans="17:18" ht="15" hidden="1">
      <c r="Q197" s="2" t="s">
        <v>412</v>
      </c>
      <c r="R197" s="2" t="s">
        <v>2</v>
      </c>
    </row>
    <row r="198" spans="17:18" ht="15" hidden="1">
      <c r="Q198" s="2" t="s">
        <v>413</v>
      </c>
      <c r="R198" s="2" t="s">
        <v>2</v>
      </c>
    </row>
    <row r="199" spans="17:18" ht="15" hidden="1">
      <c r="Q199" s="2" t="s">
        <v>414</v>
      </c>
      <c r="R199" s="2" t="s">
        <v>2</v>
      </c>
    </row>
    <row r="200" spans="17:18" ht="15" hidden="1">
      <c r="Q200" s="2" t="s">
        <v>415</v>
      </c>
      <c r="R200" s="2" t="s">
        <v>2</v>
      </c>
    </row>
    <row r="201" spans="17:18" ht="15" hidden="1">
      <c r="Q201" s="2" t="s">
        <v>416</v>
      </c>
      <c r="R201" s="2" t="s">
        <v>2</v>
      </c>
    </row>
    <row r="202" spans="17:18" ht="15" hidden="1">
      <c r="Q202" s="2" t="s">
        <v>417</v>
      </c>
      <c r="R202" s="2" t="s">
        <v>2</v>
      </c>
    </row>
    <row r="203" spans="17:18" ht="15" hidden="1">
      <c r="Q203" s="2" t="s">
        <v>418</v>
      </c>
      <c r="R203" s="2" t="s">
        <v>2</v>
      </c>
    </row>
    <row r="204" spans="17:18" ht="15" hidden="1">
      <c r="Q204" s="2" t="s">
        <v>419</v>
      </c>
      <c r="R204" s="2" t="s">
        <v>2</v>
      </c>
    </row>
    <row r="205" spans="17:18" ht="15" hidden="1">
      <c r="Q205" s="2" t="s">
        <v>420</v>
      </c>
      <c r="R205" s="2" t="s">
        <v>2</v>
      </c>
    </row>
    <row r="206" spans="17:18" ht="15" hidden="1">
      <c r="Q206" s="2" t="s">
        <v>421</v>
      </c>
      <c r="R206" s="2" t="s">
        <v>2</v>
      </c>
    </row>
    <row r="207" spans="17:18" ht="15" hidden="1">
      <c r="Q207" s="2" t="s">
        <v>422</v>
      </c>
      <c r="R207" s="2" t="s">
        <v>2</v>
      </c>
    </row>
    <row r="208" spans="17:18" ht="15" hidden="1">
      <c r="Q208" s="2" t="s">
        <v>423</v>
      </c>
      <c r="R208" s="2" t="s">
        <v>2</v>
      </c>
    </row>
    <row r="209" spans="17:18" ht="15" hidden="1">
      <c r="Q209" s="2" t="s">
        <v>424</v>
      </c>
      <c r="R209" s="2" t="s">
        <v>2</v>
      </c>
    </row>
    <row r="210" spans="17:18" ht="15" hidden="1">
      <c r="Q210" s="2" t="s">
        <v>425</v>
      </c>
      <c r="R210" s="2" t="s">
        <v>2</v>
      </c>
    </row>
    <row r="211" spans="17:18" ht="15" hidden="1">
      <c r="Q211" s="2" t="s">
        <v>426</v>
      </c>
      <c r="R211" s="2" t="s">
        <v>427</v>
      </c>
    </row>
    <row r="212" spans="17:18" ht="15" hidden="1">
      <c r="Q212" s="2" t="s">
        <v>428</v>
      </c>
      <c r="R212" s="2" t="s">
        <v>2</v>
      </c>
    </row>
    <row r="213" spans="17:18" ht="15" hidden="1">
      <c r="Q213" s="2" t="s">
        <v>429</v>
      </c>
      <c r="R213" s="2" t="s">
        <v>2</v>
      </c>
    </row>
    <row r="214" spans="17:18" ht="15" hidden="1">
      <c r="Q214" s="2" t="s">
        <v>430</v>
      </c>
      <c r="R214" s="2" t="s">
        <v>2</v>
      </c>
    </row>
    <row r="215" spans="17:18" ht="15" hidden="1">
      <c r="Q215" s="2" t="s">
        <v>431</v>
      </c>
      <c r="R215" s="2" t="s">
        <v>2</v>
      </c>
    </row>
    <row r="216" spans="17:18" ht="15" hidden="1">
      <c r="Q216" s="2" t="s">
        <v>432</v>
      </c>
      <c r="R216" s="2" t="s">
        <v>2</v>
      </c>
    </row>
    <row r="217" spans="17:18" ht="15" hidden="1">
      <c r="Q217" s="2" t="s">
        <v>433</v>
      </c>
      <c r="R217" s="2" t="s">
        <v>2</v>
      </c>
    </row>
    <row r="218" spans="17:18" ht="15" hidden="1">
      <c r="Q218" s="2" t="s">
        <v>434</v>
      </c>
      <c r="R218" s="2" t="s">
        <v>2</v>
      </c>
    </row>
    <row r="219" spans="17:18" ht="15" hidden="1">
      <c r="Q219" s="2" t="s">
        <v>435</v>
      </c>
      <c r="R219" s="2" t="s">
        <v>2</v>
      </c>
    </row>
    <row r="220" spans="17:18" ht="15" hidden="1">
      <c r="Q220" s="2" t="s">
        <v>436</v>
      </c>
      <c r="R220" s="2" t="s">
        <v>2</v>
      </c>
    </row>
    <row r="221" spans="17:18" ht="15" hidden="1">
      <c r="Q221" s="2" t="s">
        <v>437</v>
      </c>
      <c r="R221" s="2" t="s">
        <v>2</v>
      </c>
    </row>
    <row r="222" spans="17:18" ht="15" hidden="1">
      <c r="Q222" s="2" t="s">
        <v>438</v>
      </c>
      <c r="R222" s="2" t="s">
        <v>2</v>
      </c>
    </row>
    <row r="223" spans="17:18" ht="15" hidden="1">
      <c r="Q223" s="2" t="s">
        <v>439</v>
      </c>
      <c r="R223" s="2" t="s">
        <v>2</v>
      </c>
    </row>
    <row r="224" spans="17:18" ht="15" hidden="1">
      <c r="Q224" s="2" t="s">
        <v>440</v>
      </c>
      <c r="R224" s="2" t="s">
        <v>2</v>
      </c>
    </row>
    <row r="225" spans="17:18" ht="15" hidden="1">
      <c r="Q225" s="2" t="s">
        <v>441</v>
      </c>
      <c r="R225" s="2" t="s">
        <v>2</v>
      </c>
    </row>
    <row r="226" spans="17:18" ht="15" hidden="1">
      <c r="Q226" s="2" t="s">
        <v>442</v>
      </c>
      <c r="R226" s="2" t="s">
        <v>2</v>
      </c>
    </row>
    <row r="227" spans="17:18" ht="15" hidden="1">
      <c r="Q227" s="2" t="s">
        <v>443</v>
      </c>
      <c r="R227" s="2" t="s">
        <v>2</v>
      </c>
    </row>
    <row r="228" spans="17:18" ht="15" hidden="1">
      <c r="Q228" s="2" t="s">
        <v>444</v>
      </c>
      <c r="R228" s="2" t="s">
        <v>2</v>
      </c>
    </row>
    <row r="229" spans="17:18" ht="15" hidden="1">
      <c r="Q229" s="2" t="s">
        <v>445</v>
      </c>
      <c r="R229" s="2" t="s">
        <v>2</v>
      </c>
    </row>
    <row r="230" spans="17:18" ht="15" hidden="1">
      <c r="Q230" s="2" t="s">
        <v>446</v>
      </c>
      <c r="R230" s="2" t="s">
        <v>2</v>
      </c>
    </row>
    <row r="231" spans="17:18" ht="15" hidden="1">
      <c r="Q231" s="2" t="s">
        <v>447</v>
      </c>
      <c r="R231" s="2" t="s">
        <v>2</v>
      </c>
    </row>
    <row r="232" spans="17:18" ht="15" hidden="1">
      <c r="Q232" s="2" t="s">
        <v>448</v>
      </c>
      <c r="R232" s="2" t="s">
        <v>2</v>
      </c>
    </row>
    <row r="233" spans="17:18" ht="15" hidden="1">
      <c r="Q233" s="2" t="s">
        <v>449</v>
      </c>
      <c r="R233" s="2" t="s">
        <v>2</v>
      </c>
    </row>
    <row r="234" spans="17:18" ht="15" hidden="1">
      <c r="Q234" s="2" t="s">
        <v>450</v>
      </c>
      <c r="R234" s="2" t="s">
        <v>2</v>
      </c>
    </row>
    <row r="235" spans="17:18" ht="15" hidden="1">
      <c r="Q235" s="2" t="s">
        <v>451</v>
      </c>
      <c r="R235" s="2" t="s">
        <v>2</v>
      </c>
    </row>
    <row r="236" spans="17:18" ht="15" hidden="1">
      <c r="Q236" s="2" t="s">
        <v>452</v>
      </c>
      <c r="R236" s="2" t="s">
        <v>2</v>
      </c>
    </row>
    <row r="237" spans="17:18" ht="15" hidden="1">
      <c r="Q237" s="2" t="s">
        <v>453</v>
      </c>
      <c r="R237" s="2" t="s">
        <v>2</v>
      </c>
    </row>
    <row r="238" spans="17:18" ht="15" hidden="1">
      <c r="Q238" s="2" t="s">
        <v>454</v>
      </c>
      <c r="R238" s="2" t="s">
        <v>2</v>
      </c>
    </row>
    <row r="239" spans="17:18" ht="15" hidden="1">
      <c r="Q239" s="2" t="s">
        <v>455</v>
      </c>
      <c r="R239" s="2" t="s">
        <v>2</v>
      </c>
    </row>
    <row r="240" spans="17:18" ht="15" hidden="1">
      <c r="Q240" s="2" t="s">
        <v>456</v>
      </c>
      <c r="R240" s="2" t="s">
        <v>2</v>
      </c>
    </row>
    <row r="241" spans="17:18" ht="15" hidden="1">
      <c r="Q241" s="2" t="s">
        <v>457</v>
      </c>
      <c r="R241" s="2" t="s">
        <v>2</v>
      </c>
    </row>
    <row r="242" spans="17:18" ht="15" hidden="1">
      <c r="Q242" s="2" t="s">
        <v>458</v>
      </c>
      <c r="R242" s="2" t="s">
        <v>2</v>
      </c>
    </row>
    <row r="243" spans="17:18" ht="15" hidden="1">
      <c r="Q243" s="2" t="s">
        <v>459</v>
      </c>
      <c r="R243" s="2" t="s">
        <v>2</v>
      </c>
    </row>
    <row r="244" spans="17:18" ht="15" hidden="1">
      <c r="Q244" s="2" t="s">
        <v>460</v>
      </c>
      <c r="R244" s="2" t="s">
        <v>2</v>
      </c>
    </row>
    <row r="245" spans="17:18" ht="15" hidden="1">
      <c r="Q245" s="2" t="s">
        <v>461</v>
      </c>
      <c r="R245" s="2" t="s">
        <v>2</v>
      </c>
    </row>
    <row r="246" spans="17:18" ht="15" hidden="1">
      <c r="Q246" s="2" t="s">
        <v>462</v>
      </c>
      <c r="R246" s="2" t="s">
        <v>2</v>
      </c>
    </row>
    <row r="247" spans="17:18" ht="15" hidden="1">
      <c r="Q247" s="2" t="s">
        <v>463</v>
      </c>
      <c r="R247" s="2" t="s">
        <v>2</v>
      </c>
    </row>
    <row r="248" spans="17:18" ht="15" hidden="1"/>
    <row r="249" spans="17:18" ht="15" hidden="1"/>
    <row r="250" spans="17:18" ht="15" hidden="1"/>
    <row r="251" spans="17:18" ht="15" hidden="1"/>
    <row r="252" spans="17:18" ht="15" hidden="1"/>
    <row r="253" spans="17:18" ht="15" hidden="1"/>
  </sheetData>
  <sheetProtection sheet="1" objects="1" scenarios="1"/>
  <mergeCells count="2">
    <mergeCell ref="G1:G3"/>
    <mergeCell ref="A4:J6"/>
  </mergeCells>
  <dataValidations count="10">
    <dataValidation type="date" allowBlank="1" showInputMessage="1" showErrorMessage="1" sqref="D12" xr:uid="{D0F96F72-C679-4A2F-9143-F70642E6EF30}">
      <formula1>1</formula1>
      <formula2>109574</formula2>
    </dataValidation>
    <dataValidation type="date" allowBlank="1" showInputMessage="1" showErrorMessage="1" sqref="D14" xr:uid="{9A02D585-A16B-4882-A74A-AFB2632E5786}">
      <formula1>40179</formula1>
      <formula2>109574</formula2>
    </dataValidation>
    <dataValidation type="list" allowBlank="1" showInputMessage="1" showErrorMessage="1" sqref="D18" xr:uid="{FFEB5D54-F3F4-437B-8A48-AFDB60EB1B4B}">
      <formula1>Currencies</formula1>
    </dataValidation>
    <dataValidation type="list" allowBlank="1" showInputMessage="1" showErrorMessage="1" sqref="D22" xr:uid="{A8BCC9B5-4D9F-47CE-B421-72DEAAF7B718}">
      <formula1>Modules</formula1>
    </dataValidation>
    <dataValidation type="whole" allowBlank="1" showInputMessage="1" showErrorMessage="1" sqref="D35 D33 D31 D29" xr:uid="{281A9D51-42DB-4435-A2CE-8EC40CB85A8C}">
      <formula1>-6</formula1>
      <formula2>6</formula2>
    </dataValidation>
    <dataValidation type="list" allowBlank="1" showInputMessage="1" showErrorMessage="1" sqref="D44" xr:uid="{6660E3A8-1424-422E-B160-86FD37D39F54}">
      <formula1>"BIC,CTJ,CODE,KBO,LEI,PERS"</formula1>
    </dataValidation>
    <dataValidation type="list" allowBlank="1" showInputMessage="1" showErrorMessage="1" sqref="D46" xr:uid="{C9F4F401-B91F-4FCB-BCCD-AB60A0096E40}">
      <formula1>"INS,MBS"</formula1>
    </dataValidation>
    <dataValidation type="list" allowBlank="1" showInputMessage="1" showErrorMessage="1" sqref="D40" xr:uid="{F8550EC8-B8D7-4807-AC48-B24C3E2E1914}">
      <formula1>"One Gate"</formula1>
    </dataValidation>
    <dataValidation type="list" allowBlank="1" showInputMessage="1" showErrorMessage="1" sqref="D20" xr:uid="{B2073CA2-7B9D-4B6A-A959-4FEA3558329E}">
      <formula1>Taxonomies</formula1>
    </dataValidation>
    <dataValidation type="list" allowBlank="1" showInputMessage="1" showErrorMessage="1" sqref="D16" xr:uid="{7B1A4A23-CDE0-493B-8F7B-5BDAF92B6532}">
      <formula1>Q:Q</formula1>
    </dataValidation>
  </dataValidations>
  <pageMargins left="0.7" right="0.7" top="0.75" bottom="0.75" header="0.3" footer="0.3"/>
  <pageSetup orientation="portrait" r:id="rId1"/>
  <drawing r:id="rId2"/>
  <pictur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CEEE3-2AC9-4B3E-86D7-B5E5DB9EA7CA}">
  <sheetPr codeName="Blad10"/>
  <dimension ref="B2:O79"/>
  <sheetViews>
    <sheetView showGridLines="0" workbookViewId="0"/>
  </sheetViews>
  <sheetFormatPr defaultRowHeight="15"/>
  <cols>
    <col min="2" max="2" width="84.5703125" bestFit="1" customWidth="1"/>
    <col min="4" max="4" width="40.7109375" customWidth="1"/>
  </cols>
  <sheetData>
    <row r="2" spans="2:15" ht="23.25">
      <c r="B2" s="86" t="s">
        <v>512</v>
      </c>
      <c r="C2" s="87"/>
      <c r="D2" s="87"/>
      <c r="E2" s="87"/>
      <c r="F2" s="87"/>
      <c r="G2" s="87"/>
      <c r="H2" s="87"/>
      <c r="I2" s="87"/>
      <c r="J2" s="87"/>
      <c r="K2" s="87"/>
      <c r="L2" s="87"/>
      <c r="M2" s="87"/>
      <c r="N2" s="87"/>
      <c r="O2" s="87"/>
    </row>
    <row r="5" spans="2:15" ht="18.75">
      <c r="B5" s="88" t="s">
        <v>3074</v>
      </c>
      <c r="C5" s="87"/>
      <c r="D5" s="87"/>
      <c r="E5" s="87"/>
      <c r="F5" s="87"/>
      <c r="G5" s="87"/>
      <c r="H5" s="87"/>
      <c r="I5" s="87"/>
      <c r="J5" s="87"/>
      <c r="K5" s="87"/>
      <c r="L5" s="87"/>
    </row>
    <row r="9" spans="2:15">
      <c r="D9" s="89" t="s">
        <v>2877</v>
      </c>
    </row>
    <row r="10" spans="2:15">
      <c r="D10" s="90"/>
    </row>
    <row r="11" spans="2:15">
      <c r="D11" s="90"/>
    </row>
    <row r="12" spans="2:15">
      <c r="D12" s="91"/>
    </row>
    <row r="13" spans="2:15">
      <c r="D13" s="45" t="s">
        <v>2879</v>
      </c>
      <c r="I13" s="13" t="str">
        <f>IF(COUNTIF(D:D,"Reported")&gt;0,Show!$B$6,"!")&amp;"S.01.01.07.01 Rows {"&amp;COLUMN($C$1)&amp;"}"&amp;"@ForceFilingCode:true"</f>
        <v>!S.01.01.07.01 Rows {3}@ForceFilingCode:true</v>
      </c>
      <c r="J13" s="13" t="str">
        <f>IF(COUNTIF(D:D,"Reported")&gt;0,Show!$B$6,"!")&amp;"S.01.01.07.01 Columns {"&amp;COLUMN($D$1)&amp;"}"</f>
        <v>!S.01.01.07.01 Columns {4}</v>
      </c>
    </row>
    <row r="14" spans="2:15">
      <c r="B14" s="43" t="s">
        <v>2880</v>
      </c>
      <c r="C14" s="44" t="s">
        <v>2878</v>
      </c>
      <c r="D14" s="48"/>
    </row>
    <row r="15" spans="2:15">
      <c r="B15" s="47" t="s">
        <v>2881</v>
      </c>
      <c r="C15" s="44" t="s">
        <v>2878</v>
      </c>
      <c r="D15" s="46"/>
    </row>
    <row r="16" spans="2:15">
      <c r="B16" s="52" t="s">
        <v>3075</v>
      </c>
      <c r="C16" s="41" t="s">
        <v>2883</v>
      </c>
      <c r="D16" s="51"/>
    </row>
    <row r="17" spans="2:4">
      <c r="B17" s="52" t="s">
        <v>2884</v>
      </c>
      <c r="C17" s="41" t="s">
        <v>2885</v>
      </c>
      <c r="D17" s="51"/>
    </row>
    <row r="18" spans="2:4">
      <c r="B18" s="52" t="s">
        <v>3076</v>
      </c>
      <c r="C18" s="41" t="s">
        <v>2887</v>
      </c>
      <c r="D18" s="51"/>
    </row>
    <row r="19" spans="2:4">
      <c r="B19" s="52" t="s">
        <v>2888</v>
      </c>
      <c r="C19" s="41" t="s">
        <v>2889</v>
      </c>
      <c r="D19" s="51"/>
    </row>
    <row r="20" spans="2:4">
      <c r="B20" s="52" t="s">
        <v>3077</v>
      </c>
      <c r="C20" s="41" t="s">
        <v>3078</v>
      </c>
      <c r="D20" s="51"/>
    </row>
    <row r="21" spans="2:4">
      <c r="B21" s="52" t="s">
        <v>2890</v>
      </c>
      <c r="C21" s="41" t="s">
        <v>2891</v>
      </c>
      <c r="D21" s="51"/>
    </row>
    <row r="22" spans="2:4" ht="30">
      <c r="B22" s="52" t="s">
        <v>2892</v>
      </c>
      <c r="C22" s="41" t="s">
        <v>2893</v>
      </c>
      <c r="D22" s="51"/>
    </row>
    <row r="23" spans="2:4" ht="30">
      <c r="B23" s="52" t="s">
        <v>2894</v>
      </c>
      <c r="C23" s="41" t="s">
        <v>2895</v>
      </c>
      <c r="D23" s="51"/>
    </row>
    <row r="24" spans="2:4">
      <c r="B24" s="52" t="s">
        <v>2900</v>
      </c>
      <c r="C24" s="41" t="s">
        <v>2901</v>
      </c>
      <c r="D24" s="51"/>
    </row>
    <row r="25" spans="2:4">
      <c r="B25" s="52" t="s">
        <v>2902</v>
      </c>
      <c r="C25" s="41" t="s">
        <v>2903</v>
      </c>
      <c r="D25" s="51"/>
    </row>
    <row r="26" spans="2:4">
      <c r="B26" s="52" t="s">
        <v>3079</v>
      </c>
      <c r="C26" s="41" t="s">
        <v>2907</v>
      </c>
      <c r="D26" s="51"/>
    </row>
    <row r="27" spans="2:4">
      <c r="B27" s="52" t="s">
        <v>2908</v>
      </c>
      <c r="C27" s="41" t="s">
        <v>2909</v>
      </c>
      <c r="D27" s="51"/>
    </row>
    <row r="28" spans="2:4">
      <c r="B28" s="52" t="s">
        <v>2910</v>
      </c>
      <c r="C28" s="41" t="s">
        <v>2911</v>
      </c>
      <c r="D28" s="51"/>
    </row>
    <row r="29" spans="2:4">
      <c r="B29" s="52" t="s">
        <v>2912</v>
      </c>
      <c r="C29" s="41" t="s">
        <v>2913</v>
      </c>
      <c r="D29" s="51"/>
    </row>
    <row r="30" spans="2:4">
      <c r="B30" s="52" t="s">
        <v>2914</v>
      </c>
      <c r="C30" s="41" t="s">
        <v>2915</v>
      </c>
      <c r="D30" s="51"/>
    </row>
    <row r="31" spans="2:4">
      <c r="B31" s="52" t="s">
        <v>2916</v>
      </c>
      <c r="C31" s="41" t="s">
        <v>2917</v>
      </c>
      <c r="D31" s="51"/>
    </row>
    <row r="32" spans="2:4">
      <c r="B32" s="52" t="s">
        <v>2918</v>
      </c>
      <c r="C32" s="41" t="s">
        <v>2919</v>
      </c>
      <c r="D32" s="51"/>
    </row>
    <row r="33" spans="2:4">
      <c r="B33" s="52" t="s">
        <v>2920</v>
      </c>
      <c r="C33" s="41" t="s">
        <v>2921</v>
      </c>
      <c r="D33" s="51"/>
    </row>
    <row r="34" spans="2:4">
      <c r="B34" s="52" t="s">
        <v>2922</v>
      </c>
      <c r="C34" s="41" t="s">
        <v>2923</v>
      </c>
      <c r="D34" s="51"/>
    </row>
    <row r="35" spans="2:4">
      <c r="B35" s="52" t="s">
        <v>3080</v>
      </c>
      <c r="C35" s="41" t="s">
        <v>2925</v>
      </c>
      <c r="D35" s="51"/>
    </row>
    <row r="36" spans="2:4">
      <c r="B36" s="52" t="s">
        <v>2926</v>
      </c>
      <c r="C36" s="41" t="s">
        <v>2927</v>
      </c>
      <c r="D36" s="51"/>
    </row>
    <row r="37" spans="2:4">
      <c r="B37" s="52" t="s">
        <v>2928</v>
      </c>
      <c r="C37" s="41" t="s">
        <v>2929</v>
      </c>
      <c r="D37" s="51"/>
    </row>
    <row r="38" spans="2:4">
      <c r="B38" s="52" t="s">
        <v>2930</v>
      </c>
      <c r="C38" s="41" t="s">
        <v>2931</v>
      </c>
      <c r="D38" s="51"/>
    </row>
    <row r="39" spans="2:4">
      <c r="B39" s="52" t="s">
        <v>2932</v>
      </c>
      <c r="C39" s="41" t="s">
        <v>2933</v>
      </c>
      <c r="D39" s="51"/>
    </row>
    <row r="40" spans="2:4">
      <c r="B40" s="52" t="s">
        <v>2934</v>
      </c>
      <c r="C40" s="41" t="s">
        <v>2935</v>
      </c>
      <c r="D40" s="51"/>
    </row>
    <row r="41" spans="2:4">
      <c r="B41" s="52" t="s">
        <v>2936</v>
      </c>
      <c r="C41" s="41" t="s">
        <v>2937</v>
      </c>
      <c r="D41" s="51"/>
    </row>
    <row r="42" spans="2:4">
      <c r="B42" s="52" t="s">
        <v>2938</v>
      </c>
      <c r="C42" s="41" t="s">
        <v>2939</v>
      </c>
      <c r="D42" s="51"/>
    </row>
    <row r="43" spans="2:4">
      <c r="B43" s="52" t="s">
        <v>3081</v>
      </c>
      <c r="C43" s="41" t="s">
        <v>2941</v>
      </c>
      <c r="D43" s="51"/>
    </row>
    <row r="44" spans="2:4">
      <c r="B44" s="52" t="s">
        <v>2942</v>
      </c>
      <c r="C44" s="41" t="s">
        <v>2943</v>
      </c>
      <c r="D44" s="51"/>
    </row>
    <row r="45" spans="2:4">
      <c r="B45" s="52" t="s">
        <v>2944</v>
      </c>
      <c r="C45" s="41" t="s">
        <v>2945</v>
      </c>
      <c r="D45" s="51"/>
    </row>
    <row r="46" spans="2:4">
      <c r="B46" s="52" t="s">
        <v>2946</v>
      </c>
      <c r="C46" s="41" t="s">
        <v>2947</v>
      </c>
      <c r="D46" s="51"/>
    </row>
    <row r="47" spans="2:4">
      <c r="B47" s="52" t="s">
        <v>2948</v>
      </c>
      <c r="C47" s="41" t="s">
        <v>2949</v>
      </c>
      <c r="D47" s="51"/>
    </row>
    <row r="48" spans="2:4">
      <c r="B48" s="52" t="s">
        <v>2950</v>
      </c>
      <c r="C48" s="41" t="s">
        <v>2951</v>
      </c>
      <c r="D48" s="51"/>
    </row>
    <row r="49" spans="2:4">
      <c r="B49" s="52" t="s">
        <v>2952</v>
      </c>
      <c r="C49" s="41" t="s">
        <v>2953</v>
      </c>
      <c r="D49" s="51"/>
    </row>
    <row r="50" spans="2:4">
      <c r="B50" s="52" t="s">
        <v>2954</v>
      </c>
      <c r="C50" s="41" t="s">
        <v>2955</v>
      </c>
      <c r="D50" s="51"/>
    </row>
    <row r="51" spans="2:4">
      <c r="B51" s="52" t="s">
        <v>2956</v>
      </c>
      <c r="C51" s="41" t="s">
        <v>2957</v>
      </c>
      <c r="D51" s="51"/>
    </row>
    <row r="52" spans="2:4">
      <c r="B52" s="52" t="s">
        <v>2958</v>
      </c>
      <c r="C52" s="41" t="s">
        <v>2959</v>
      </c>
      <c r="D52" s="51"/>
    </row>
    <row r="53" spans="2:4">
      <c r="B53" s="52" t="s">
        <v>3082</v>
      </c>
      <c r="C53" s="41" t="s">
        <v>2961</v>
      </c>
      <c r="D53" s="51"/>
    </row>
    <row r="54" spans="2:4">
      <c r="B54" s="52" t="s">
        <v>3083</v>
      </c>
      <c r="C54" s="41" t="s">
        <v>2965</v>
      </c>
      <c r="D54" s="51"/>
    </row>
    <row r="55" spans="2:4">
      <c r="B55" s="52" t="s">
        <v>2968</v>
      </c>
      <c r="C55" s="41" t="s">
        <v>2969</v>
      </c>
      <c r="D55" s="51"/>
    </row>
    <row r="56" spans="2:4">
      <c r="B56" s="52" t="s">
        <v>2970</v>
      </c>
      <c r="C56" s="41" t="s">
        <v>2971</v>
      </c>
      <c r="D56" s="51"/>
    </row>
    <row r="57" spans="2:4" ht="30">
      <c r="B57" s="52" t="s">
        <v>2972</v>
      </c>
      <c r="C57" s="41" t="s">
        <v>2973</v>
      </c>
      <c r="D57" s="51"/>
    </row>
    <row r="58" spans="2:4">
      <c r="B58" s="52" t="s">
        <v>2974</v>
      </c>
      <c r="C58" s="41" t="s">
        <v>2975</v>
      </c>
      <c r="D58" s="51"/>
    </row>
    <row r="59" spans="2:4">
      <c r="B59" s="52" t="s">
        <v>2976</v>
      </c>
      <c r="C59" s="41" t="s">
        <v>2977</v>
      </c>
      <c r="D59" s="51"/>
    </row>
    <row r="60" spans="2:4">
      <c r="B60" s="52" t="s">
        <v>2978</v>
      </c>
      <c r="C60" s="41" t="s">
        <v>2979</v>
      </c>
      <c r="D60" s="51"/>
    </row>
    <row r="61" spans="2:4">
      <c r="B61" s="52" t="s">
        <v>2980</v>
      </c>
      <c r="C61" s="41" t="s">
        <v>2981</v>
      </c>
      <c r="D61" s="51"/>
    </row>
    <row r="62" spans="2:4">
      <c r="B62" s="52" t="s">
        <v>2982</v>
      </c>
      <c r="C62" s="41" t="s">
        <v>2983</v>
      </c>
      <c r="D62" s="51"/>
    </row>
    <row r="63" spans="2:4">
      <c r="B63" s="52" t="s">
        <v>2984</v>
      </c>
      <c r="C63" s="41" t="s">
        <v>2985</v>
      </c>
      <c r="D63" s="51"/>
    </row>
    <row r="64" spans="2:4">
      <c r="B64" s="52" t="s">
        <v>2986</v>
      </c>
      <c r="C64" s="41" t="s">
        <v>2987</v>
      </c>
      <c r="D64" s="51"/>
    </row>
    <row r="65" spans="2:10">
      <c r="B65" s="52" t="s">
        <v>2988</v>
      </c>
      <c r="C65" s="41" t="s">
        <v>2989</v>
      </c>
      <c r="D65" s="51"/>
    </row>
    <row r="66" spans="2:10">
      <c r="B66" s="52" t="s">
        <v>3084</v>
      </c>
      <c r="C66" s="41" t="s">
        <v>2991</v>
      </c>
      <c r="D66" s="51"/>
    </row>
    <row r="67" spans="2:10" ht="30">
      <c r="B67" s="52" t="s">
        <v>2992</v>
      </c>
      <c r="C67" s="41" t="s">
        <v>2993</v>
      </c>
      <c r="D67" s="51"/>
    </row>
    <row r="68" spans="2:10">
      <c r="B68" s="52" t="s">
        <v>2994</v>
      </c>
      <c r="C68" s="41" t="s">
        <v>2995</v>
      </c>
      <c r="D68" s="51"/>
    </row>
    <row r="69" spans="2:10">
      <c r="B69" s="52" t="s">
        <v>3085</v>
      </c>
      <c r="C69" s="41" t="s">
        <v>2997</v>
      </c>
      <c r="D69" s="51"/>
    </row>
    <row r="70" spans="2:10" ht="30">
      <c r="B70" s="52" t="s">
        <v>2998</v>
      </c>
      <c r="C70" s="41" t="s">
        <v>2999</v>
      </c>
      <c r="D70" s="51"/>
    </row>
    <row r="71" spans="2:10">
      <c r="B71" s="52" t="s">
        <v>3000</v>
      </c>
      <c r="C71" s="41" t="s">
        <v>3001</v>
      </c>
      <c r="D71" s="51"/>
    </row>
    <row r="72" spans="2:10">
      <c r="B72" s="52" t="s">
        <v>3002</v>
      </c>
      <c r="C72" s="41" t="s">
        <v>3003</v>
      </c>
      <c r="D72" s="51"/>
    </row>
    <row r="73" spans="2:10">
      <c r="B73" s="52" t="s">
        <v>3004</v>
      </c>
      <c r="C73" s="41" t="s">
        <v>3005</v>
      </c>
      <c r="D73" s="51"/>
    </row>
    <row r="74" spans="2:10">
      <c r="B74" s="52" t="s">
        <v>3006</v>
      </c>
      <c r="C74" s="41" t="s">
        <v>3007</v>
      </c>
      <c r="D74" s="51"/>
    </row>
    <row r="75" spans="2:10">
      <c r="B75" s="52" t="s">
        <v>3008</v>
      </c>
      <c r="C75" s="41" t="s">
        <v>3009</v>
      </c>
      <c r="D75" s="51"/>
    </row>
    <row r="76" spans="2:10">
      <c r="B76" s="52" t="s">
        <v>3010</v>
      </c>
      <c r="C76" s="41" t="s">
        <v>3011</v>
      </c>
      <c r="D76" s="51"/>
    </row>
    <row r="77" spans="2:10">
      <c r="B77" s="52" t="s">
        <v>3012</v>
      </c>
      <c r="C77" s="41" t="s">
        <v>3013</v>
      </c>
      <c r="D77" s="51"/>
    </row>
    <row r="78" spans="2:10">
      <c r="B78" s="52" t="s">
        <v>3014</v>
      </c>
      <c r="C78" s="41" t="s">
        <v>3015</v>
      </c>
      <c r="D78" s="51"/>
    </row>
    <row r="79" spans="2:10">
      <c r="I79" s="13" t="str">
        <f>IF(COUNTIF(D:D,"Reported")&gt;0,Show!$B$6&amp;Show!$B$6,"!!")&amp;"S.01.01.07.01 Rows {"&amp;COLUMN($C$1)&amp;"}"</f>
        <v>!!S.01.01.07.01 Rows {3}</v>
      </c>
      <c r="J79" s="13" t="str">
        <f>IF(COUNTIF(D:D,"Reported")&gt;0,Show!$B$6&amp;Show!$B$6,"!!")&amp;"S.01.01.07.01 Columns {"&amp;COLUMN($D$1)&amp;"}"</f>
        <v>!!S.01.01.07.01 Columns {4}</v>
      </c>
    </row>
  </sheetData>
  <sheetProtection sheet="1" objects="1" scenarios="1"/>
  <mergeCells count="3">
    <mergeCell ref="B2:O2"/>
    <mergeCell ref="B5:L5"/>
    <mergeCell ref="D9:D12"/>
  </mergeCells>
  <dataValidations count="42">
    <dataValidation type="list" errorStyle="warning" allowBlank="1" showInputMessage="1" showErrorMessage="1" sqref="D16" xr:uid="{9536D206-4A6C-4B2E-A10A-CD10E5189AED}">
      <formula1>hier_CN_2</formula1>
    </dataValidation>
    <dataValidation type="list" errorStyle="warning" allowBlank="1" showInputMessage="1" showErrorMessage="1" sqref="D17" xr:uid="{DD4E87B1-7B15-4231-ABC9-F78A440672DB}">
      <formula1>hier_CN_14</formula1>
    </dataValidation>
    <dataValidation type="list" errorStyle="warning" allowBlank="1" showInputMessage="1" showErrorMessage="1" sqref="D18" xr:uid="{68915A63-0ACB-48E1-9482-2CF41F8A27E3}">
      <formula1>hier_CN_106</formula1>
    </dataValidation>
    <dataValidation type="list" errorStyle="warning" allowBlank="1" showInputMessage="1" showErrorMessage="1" sqref="D19" xr:uid="{2C2B04FD-E397-427F-8BB7-42C8A36BF834}">
      <formula1>hier_CN_18</formula1>
    </dataValidation>
    <dataValidation type="list" errorStyle="warning" allowBlank="1" showInputMessage="1" showErrorMessage="1" sqref="D20 D31 D69 D70 D71 D72" xr:uid="{005936B8-016C-4D70-B9D5-6D3B86DB67F8}">
      <formula1>hier_CN_15</formula1>
    </dataValidation>
    <dataValidation type="list" errorStyle="warning" allowBlank="1" showInputMessage="1" showErrorMessage="1" sqref="D21" xr:uid="{152A79E1-826B-430B-9DB3-CDC3B267B00E}">
      <formula1>hier_CN_20</formula1>
    </dataValidation>
    <dataValidation type="list" errorStyle="warning" allowBlank="1" showInputMessage="1" showErrorMessage="1" sqref="D22" xr:uid="{63771B08-6FEE-4EA0-A7B7-A65E813CF1D0}">
      <formula1>hier_CN_34</formula1>
    </dataValidation>
    <dataValidation type="list" errorStyle="warning" allowBlank="1" showInputMessage="1" showErrorMessage="1" sqref="D23" xr:uid="{18AE93E1-93F2-4B8E-A07D-4AC651273B6B}">
      <formula1>hier_CN_35</formula1>
    </dataValidation>
    <dataValidation type="list" errorStyle="warning" allowBlank="1" showInputMessage="1" showErrorMessage="1" sqref="D24 D53" xr:uid="{ED71F3DA-9C32-461E-9EB6-8E01DDE87CB1}">
      <formula1>hier_CN_115</formula1>
    </dataValidation>
    <dataValidation type="list" errorStyle="warning" allowBlank="1" showInputMessage="1" showErrorMessage="1" sqref="D25" xr:uid="{B9305357-5BF3-408D-A2E3-E0041615EEA7}">
      <formula1>hier_CN_116</formula1>
    </dataValidation>
    <dataValidation type="list" errorStyle="warning" allowBlank="1" showInputMessage="1" showErrorMessage="1" sqref="D26" xr:uid="{060D4EAD-C5D0-410D-9187-A7A6FCE09C52}">
      <formula1>hier_CN_97</formula1>
    </dataValidation>
    <dataValidation type="list" errorStyle="warning" allowBlank="1" showInputMessage="1" showErrorMessage="1" sqref="D27" xr:uid="{0306846B-CE7E-485A-AB07-EA96BAE4FA5E}">
      <formula1>hier_CN_119</formula1>
    </dataValidation>
    <dataValidation type="list" errorStyle="warning" allowBlank="1" showInputMessage="1" showErrorMessage="1" sqref="D28" xr:uid="{F0CD650A-DA15-42C9-8FC9-3F7246BD36F0}">
      <formula1>hier_CN_121</formula1>
    </dataValidation>
    <dataValidation type="list" errorStyle="warning" allowBlank="1" showInputMessage="1" showErrorMessage="1" sqref="D29 D30" xr:uid="{9AC4EE8A-C419-47CC-87EF-54C407F0B316}">
      <formula1>hier_CN_100</formula1>
    </dataValidation>
    <dataValidation type="list" errorStyle="warning" allowBlank="1" showInputMessage="1" showErrorMessage="1" sqref="D32" xr:uid="{D4709EB3-7984-4904-B75D-7BBE91066563}">
      <formula1>hier_CN_101</formula1>
    </dataValidation>
    <dataValidation type="list" errorStyle="warning" allowBlank="1" showInputMessage="1" showErrorMessage="1" sqref="D33" xr:uid="{84FAD260-0112-4816-92B1-ED2E9A187C6D}">
      <formula1>hier_CN_102</formula1>
    </dataValidation>
    <dataValidation type="list" errorStyle="warning" allowBlank="1" showInputMessage="1" showErrorMessage="1" sqref="D34" xr:uid="{4D600735-BCE8-42AF-A396-48D3B215BDCA}">
      <formula1>hier_CN_103</formula1>
    </dataValidation>
    <dataValidation type="list" errorStyle="warning" allowBlank="1" showInputMessage="1" showErrorMessage="1" sqref="D35" xr:uid="{0858B308-F2C4-4CB0-A032-4B08553A4B52}">
      <formula1>hier_CN_31</formula1>
    </dataValidation>
    <dataValidation type="list" errorStyle="warning" allowBlank="1" showInputMessage="1" showErrorMessage="1" sqref="D36 D37" xr:uid="{D2DA3EFC-DE16-4914-B710-C425C94E30D1}">
      <formula1>hier_CN_30</formula1>
    </dataValidation>
    <dataValidation type="list" errorStyle="warning" allowBlank="1" showInputMessage="1" showErrorMessage="1" sqref="D38 D39" xr:uid="{C0FAA019-BAB3-456B-85FC-AFEE2F088401}">
      <formula1>hier_CN_41</formula1>
    </dataValidation>
    <dataValidation type="list" errorStyle="warning" allowBlank="1" showInputMessage="1" showErrorMessage="1" sqref="D40" xr:uid="{24F7C502-7A50-43EE-99EF-5206FD015A5B}">
      <formula1>hier_CN_42</formula1>
    </dataValidation>
    <dataValidation type="list" errorStyle="warning" allowBlank="1" showInputMessage="1" showErrorMessage="1" sqref="D41" xr:uid="{86CE5336-4A0C-4195-911C-6A2BC5A26E69}">
      <formula1>hier_CN_104</formula1>
    </dataValidation>
    <dataValidation type="list" errorStyle="warning" allowBlank="1" showInputMessage="1" showErrorMessage="1" sqref="D42" xr:uid="{E7939CE3-BB6F-4208-A1A0-15071E1ED380}">
      <formula1>hier_CN_33</formula1>
    </dataValidation>
    <dataValidation type="list" errorStyle="warning" allowBlank="1" showInputMessage="1" showErrorMessage="1" sqref="D43 D44" xr:uid="{ACB40003-5393-44E5-92A0-BE525E16C808}">
      <formula1>hier_CN_32</formula1>
    </dataValidation>
    <dataValidation type="list" errorStyle="warning" allowBlank="1" showInputMessage="1" showErrorMessage="1" sqref="D45 D46 D47 D48" xr:uid="{DA732B0E-5F80-41C5-A677-A7AADC8F9143}">
      <formula1>hier_CN_123</formula1>
    </dataValidation>
    <dataValidation type="list" errorStyle="warning" allowBlank="1" showInputMessage="1" showErrorMessage="1" sqref="D49" xr:uid="{EEF85201-892C-42ED-8EFC-135EC7A3C832}">
      <formula1>hier_CN_43</formula1>
    </dataValidation>
    <dataValidation type="list" errorStyle="warning" allowBlank="1" showInputMessage="1" showErrorMessage="1" sqref="D50 D51" xr:uid="{1025A65C-C8A9-49BE-8F71-B36E75DFBA13}">
      <formula1>hier_CN_45</formula1>
    </dataValidation>
    <dataValidation type="list" errorStyle="warning" allowBlank="1" showInputMessage="1" showErrorMessage="1" sqref="D52" xr:uid="{972B19CE-F18E-48A9-8826-D00BCD993030}">
      <formula1>hier_CN_112</formula1>
    </dataValidation>
    <dataValidation type="list" errorStyle="warning" allowBlank="1" showInputMessage="1" showErrorMessage="1" sqref="D54" xr:uid="{8E32276B-D30F-48B5-A785-99003244610F}">
      <formula1>hier_CN_1</formula1>
    </dataValidation>
    <dataValidation type="list" errorStyle="warning" allowBlank="1" showInputMessage="1" showErrorMessage="1" sqref="D55" xr:uid="{E0631915-F5F8-4AF2-8980-3D8BDDF7581B}">
      <formula1>hier_CN_46</formula1>
    </dataValidation>
    <dataValidation type="list" errorStyle="warning" allowBlank="1" showInputMessage="1" showErrorMessage="1" sqref="D56" xr:uid="{B09186D6-935A-4FA5-BA38-8564AB8C4123}">
      <formula1>hier_CN_108</formula1>
    </dataValidation>
    <dataValidation type="list" errorStyle="warning" allowBlank="1" showInputMessage="1" showErrorMessage="1" sqref="D57" xr:uid="{BA9BEBB6-6CD2-48B2-876B-852D1D3083E9}">
      <formula1>hier_CN_8</formula1>
    </dataValidation>
    <dataValidation type="list" errorStyle="warning" allowBlank="1" showInputMessage="1" showErrorMessage="1" sqref="D58" xr:uid="{77F43E5E-7B23-4ECE-B1AE-A6F0CDD7C733}">
      <formula1>hier_CN_9</formula1>
    </dataValidation>
    <dataValidation type="list" errorStyle="warning" allowBlank="1" showInputMessage="1" showErrorMessage="1" sqref="D59 D60 D61 D62 D63" xr:uid="{AD727146-0561-45F1-B773-AAA7E7B1E390}">
      <formula1>hier_CN_124</formula1>
    </dataValidation>
    <dataValidation type="list" errorStyle="warning" allowBlank="1" showInputMessage="1" showErrorMessage="1" sqref="D64" xr:uid="{8D00F10E-C065-45C9-BA99-70C04156CB22}">
      <formula1>hier_CN_53</formula1>
    </dataValidation>
    <dataValidation type="list" errorStyle="warning" allowBlank="1" showInputMessage="1" showErrorMessage="1" sqref="D65" xr:uid="{C36D1860-A5D2-4898-9B0B-80317013B114}">
      <formula1>hier_CN_55</formula1>
    </dataValidation>
    <dataValidation type="list" errorStyle="warning" allowBlank="1" showInputMessage="1" showErrorMessage="1" sqref="D66" xr:uid="{8D4465E2-64C4-43C5-AEE0-D6CACEF14061}">
      <formula1>hier_CN_51</formula1>
    </dataValidation>
    <dataValidation type="list" errorStyle="warning" allowBlank="1" showInputMessage="1" showErrorMessage="1" sqref="D67" xr:uid="{F31C41A5-FB00-4250-9CAF-BDF41DABB192}">
      <formula1>hier_CN_85</formula1>
    </dataValidation>
    <dataValidation type="list" errorStyle="warning" allowBlank="1" showInputMessage="1" showErrorMessage="1" sqref="D68" xr:uid="{9FF39C4C-FF78-4E7A-8943-1BE78D4D9D3A}">
      <formula1>hier_CN_86</formula1>
    </dataValidation>
    <dataValidation type="list" errorStyle="warning" allowBlank="1" showInputMessage="1" showErrorMessage="1" sqref="D73 D74" xr:uid="{2694ADFE-E3C9-426B-9D51-729BD3CC37E3}">
      <formula1>hier_CN_57</formula1>
    </dataValidation>
    <dataValidation type="list" errorStyle="warning" allowBlank="1" showInputMessage="1" showErrorMessage="1" sqref="D75 D76 D77" xr:uid="{304DB17F-44E3-4AFF-85A8-9C1533938BCD}">
      <formula1>hier_CN_58</formula1>
    </dataValidation>
    <dataValidation type="list" errorStyle="warning" allowBlank="1" showInputMessage="1" showErrorMessage="1" sqref="D78" xr:uid="{40C81CC8-889A-4605-8BA8-F14E0E99E30E}">
      <formula1>hier_CN_59</formula1>
    </dataValidation>
  </dataValidations>
  <hyperlinks>
    <hyperlink ref="B16" location="'S.01.02.07'!A1" display="S.01.02.07 - Basic Information - General" xr:uid="{E9B59F62-C867-4B25-A134-244F2D84CF75}"/>
    <hyperlink ref="B17" location="'S.01.03.01'!A1" display="S.01.03.01 - Basic Information - RFF and matching adjustment portfolios" xr:uid="{C2DD1753-9ECC-4EEB-935A-BA68094E6399}"/>
    <hyperlink ref="B18" location="'S.02.01.07'!A1" display="S.02.01.07 - Balance Sheet" xr:uid="{0AEE8941-5B4B-4412-8A5E-60543F68DA88}"/>
    <hyperlink ref="B19" location="'S.02.02.01'!A1" display="S.02.02.01 - Assets and liabilities by currency" xr:uid="{6F503142-5134-4E6A-9B35-7E89EEAD759D}"/>
    <hyperlink ref="B20" location="'S.02.03.07'!A1" display="S.02.03.07 - Additional branch balance sheet information" xr:uid="{823C7929-E85E-4355-88CD-F92783E67BEE}"/>
    <hyperlink ref="B21" location="'S.03.01.01'!A1" display="S.03.01.01 - Off-balance sheet items - general" xr:uid="{CF3A38F4-69A8-4D39-9351-EB15603B6B2D}"/>
    <hyperlink ref="B22" location="'S.03.02.01'!A1" display="S.03.02.01 - Off-balance sheet items - List of unlimited guarantees received by the undertaking" xr:uid="{E879857F-2984-485C-B6DE-7FA191EDFC4E}"/>
    <hyperlink ref="B23" location="'S.03.03.01'!A1" display="S.03.03.01 - Off-balance sheet items - List of unlimited guarantees provided by the undertaking" xr:uid="{E5A1D042-1203-4CFE-843B-3B42A90D2977}"/>
    <hyperlink ref="B24" location="'S.05.01.01'!A1" display="S.05.01.01 - Premiums, claims and expenses by line of business" xr:uid="{7A460B6A-E974-4E97-9AAA-C544EF7DE70E}"/>
    <hyperlink ref="B25" location="'S.05.02.01'!A1" display="S.05.02.01 - Premiums, claims and expenses by country" xr:uid="{63CE867C-1D63-4916-BFD8-A3BF6B25F6C0}"/>
    <hyperlink ref="B26" location="'S.06.02.07'!A1" display="S.06.02.07 - List of assets" xr:uid="{C09565B7-3198-4A7F-BF0D-D5EAB05405DA}"/>
    <hyperlink ref="B27" location="'S.06.03.01'!A1" display="S.06.03.01 - Collective investment undertakings - look-through approach" xr:uid="{28110219-36DE-4C55-B247-63D9E32FD602}"/>
    <hyperlink ref="B28" location="'S.07.01.01'!A1" display="S.07.01.01 - Structured products" xr:uid="{53FEEAEF-B97B-4D72-9F74-75B40D865C4B}"/>
    <hyperlink ref="B29" location="'S.08.01.01'!A1" display="S.08.01.01 - Open derivatives" xr:uid="{BE5D2E87-D0DD-46FE-8802-C24F6F1A0881}"/>
    <hyperlink ref="B30" location="'S.08.02.01'!A1" display="S.08.02.01 - Derivatives Transactions" xr:uid="{9E55B0F2-F8E6-4217-B578-E368BDA34D76}"/>
    <hyperlink ref="B31" location="'S.09.01.01'!A1" display="S.09.01.01 - Income/gains and losses in the period" xr:uid="{CF5414B6-64F9-41B8-B66E-C3CC3C66E168}"/>
    <hyperlink ref="B32" location="'S.10.01.01'!A1" display="S.10.01.01 - Securities lending and repos" xr:uid="{992CCE8D-64F7-47D6-9F5D-3C20B53E94C4}"/>
    <hyperlink ref="B33" location="'S.11.01.01'!A1" display="S.11.01.01 - Assets held as collateral" xr:uid="{98DBCF5A-702C-4F27-BA11-979CB88192BA}"/>
    <hyperlink ref="B34" location="'S.12.01.01'!A1" display="S.12.01.01 - Life and Health SLT Technical Provisions" xr:uid="{E3E48C47-B327-41D1-BCD2-D1577FACEF29}"/>
    <hyperlink ref="B35" location="'S.12.02.01'!A1" display="S.12.02.01 - Life and Health SLT Technical Provisions - By country" xr:uid="{EC5CFF9A-1322-4A43-833B-8CAA50412DBC}"/>
    <hyperlink ref="B36" location="'S.13.01.01'!A1" display="S.13.01.01 - Projection of future gross cash flows" xr:uid="{24271078-1319-4A95-859C-C6EF7F46F356}"/>
    <hyperlink ref="B37" location="'S.14.01.01'!A1" display="S.14.01.01 - Life obligations analysis" xr:uid="{4CA90D37-3A5E-4B1C-9CE6-54B94852B167}"/>
    <hyperlink ref="B38" location="'S.15.01.01'!A1" display="S.15.01.01 - Description of the guarantees of variable annuities" xr:uid="{6D9329A2-09BC-45FE-9E7E-F1DC48AD5BF2}"/>
    <hyperlink ref="B39" location="'S.15.02.01'!A1" display="S.15.02.01 - Hedging of guarantees of variable annuities" xr:uid="{DA06EA59-11D9-489E-B8B1-204BB901E3F7}"/>
    <hyperlink ref="B40" location="'S.16.01.01'!A1" display="S.16.01.01 - Information on annuities stemming from Non-Life Insurance obligations" xr:uid="{0AF15FB1-26B9-4141-9C43-C2249A881037}"/>
    <hyperlink ref="B41" location="'S.17.01.01'!A1" display="S.17.01.01 - Non-Life Technical Provisions" xr:uid="{DD37F538-FFCA-4F2A-BCCE-7F6A9B126DB4}"/>
    <hyperlink ref="B42" location="'S.17.02.01'!A1" display="S.17.02.01 - Non-Life Technical Provisions - By country" xr:uid="{2EFA3DD8-72B1-4377-9A30-022A483A743C}"/>
    <hyperlink ref="B43" location="'S.18.01.01'!A1" display="S.18.01.01 - Projection of future cash flows (Best Estimate - Non-Life)" xr:uid="{CC145473-4A42-4C56-9256-2E27C52C2A86}"/>
    <hyperlink ref="B44" location="'S.19.01.01'!A1" display="S.19.01.01 - Non-life insurance claims" xr:uid="{39184B83-FDA5-4E27-9092-B04A488DF454}"/>
    <hyperlink ref="B45" location="'S.20.01.01'!A1" display="S.20.01.01 - Development of the distribution of the claims incurred" xr:uid="{39BC2CF0-3C4F-46B9-A4B8-8A6DFB77C49D}"/>
    <hyperlink ref="B46" location="'S.21.01.01'!A1" display="S.21.01.01 - Loss distribution risk profile" xr:uid="{E9486FCB-AE55-43CB-8A94-921B4CF4848E}"/>
    <hyperlink ref="B47" location="'S.21.02.01'!A1" display="S.21.02.01 - Underwriting risks non-life" xr:uid="{1C0E25A3-C036-4C0E-BD87-492847F65383}"/>
    <hyperlink ref="B48" location="'S.21.03.01'!A1" display="S.21.03.01 - Non-life distribution of underwriting risks - by sum insured" xr:uid="{9301CF6D-FE67-493E-B657-76AE5049CBFF}"/>
    <hyperlink ref="B49" location="'S.22.01.01'!A1" display="S.22.01.01 - Impact of long term guarantees measures and transitionals" xr:uid="{FF722470-6097-43DC-8D75-D7DE8ED7A88C}"/>
    <hyperlink ref="B50" location="'S.22.04.01'!A1" display="S.22.04.01 - Information on the transitional on interest rates calculation" xr:uid="{6582B5CE-27A4-47B0-9862-09F95650E1E6}"/>
    <hyperlink ref="B51" location="'S.22.05.01'!A1" display="S.22.05.01 - Overall calculation of the transitional on technical provisions" xr:uid="{0489C2C7-5DF5-43DA-BC01-8D6FBD61595A}"/>
    <hyperlink ref="B52" location="'S.22.06.01'!A1" display="S.22.06.01 - Best estimate subject to volatility adjustment by country and currency" xr:uid="{26F86043-D81C-4BC1-A661-5927523A52A5}"/>
    <hyperlink ref="B53" location="'S.23.01.07'!A1" display="S.23.01.07 - Own funds" xr:uid="{6DF3F4F7-6817-4857-A0E6-3817F289351B}"/>
    <hyperlink ref="B54" location="'S.23.03.07'!A1" display="S.23.03.07 - Annual movements on own funds" xr:uid="{D7B674DF-794A-4F74-9942-0EBDEF41B82E}"/>
    <hyperlink ref="B55" location="'S.24.01.01'!A1" display="S.24.01.01 - Participations held" xr:uid="{CFA4218D-3376-4891-BF6D-0C866896A27F}"/>
    <hyperlink ref="B56" location="'S.25.01.01'!A1" display="S.25.01.01 - Solvency Capital Requirement - for undertakings on Standard Formula" xr:uid="{89EC7D9E-9DFE-4D90-AA0B-C7976709975C}"/>
    <hyperlink ref="B57" location="'S.25.02.01'!A1" display="S.25.02.01 - Solvency Capital Requirement - for undertakings using the standard formula and partial internal model" xr:uid="{8F8291C6-33EC-4364-9BAC-FEBA08F0AADA}"/>
    <hyperlink ref="B58" location="'S.25.03.01'!A1" display="S.25.03.01 - Solvency Capital Requirement - for undertakings on Full Internal Models" xr:uid="{1EB1FE20-FF3F-47EE-8F58-93F253660BB7}"/>
    <hyperlink ref="B59" location="'S.26.01.01'!A1" display="S.26.01.01 - Solvency Capital Requirement - Market risk" xr:uid="{9DCCE7D6-9246-40FF-9D77-FD2585436EA2}"/>
    <hyperlink ref="B60" location="'S.26.02.01'!A1" display="S.26.02.01 - Solvency Capital Requirement - Counterparty default risk" xr:uid="{4446D65C-DEBB-46BF-8FA2-15F1480B51B6}"/>
    <hyperlink ref="B61" location="'S.26.03.01'!A1" display="S.26.03.01 - Solvency Capital Requirement - Life underwriting risk" xr:uid="{6516A765-090C-43BA-8421-68353AA16F3A}"/>
    <hyperlink ref="B62" location="'S.26.04.01'!A1" display="S.26.04.01 - Solvency Capital Requirement - Health underwriting risk" xr:uid="{84696633-F9D8-478B-99EE-A8AD1189BDDD}"/>
    <hyperlink ref="B63" location="'S.26.05.01'!A1" display="S.26.05.01 - Solvency Capital Requirement - Non-Life underwriting risk" xr:uid="{36DD9E29-35A1-4460-913D-B5EA53ED59BE}"/>
    <hyperlink ref="B64" location="'S.26.06.01'!A1" display="S.26.06.01 - Solvency Capital Requirement - Operational risk" xr:uid="{B50ACD20-96DD-4207-BEEF-53CE00FA8CA9}"/>
    <hyperlink ref="B65" location="'S.26.07.01'!A1" display="S.26.07.01 - Solvency Capital Requirement - Simplifications" xr:uid="{18ADAEA8-64E3-496E-ADFB-3CF602B319DB}"/>
    <hyperlink ref="B66" location="'S.27.01.01'!A1" display="S.27.01.01 - Solvency Capital Requirement - Non-Life and Health catastrophe risk" xr:uid="{B27E1E67-09C2-443E-8C77-46FBB9F13DE9}"/>
    <hyperlink ref="B67" location="'S.28.01.01'!A1" display="S.28.01.01 - Minimum Capital Requirement - Only life or only non-life insurance or reinsurance activity" xr:uid="{F5B3C471-AFE8-487E-A1C2-ECE6C00E5CA7}"/>
    <hyperlink ref="B68" location="'S.28.02.01'!A1" display="S.28.02.01 - Minimum Capital Requirement - Both life and non-life insurance activity" xr:uid="{B55ABF2B-D909-4E51-820A-A9D51F457C9A}"/>
    <hyperlink ref="B69" location="'S.29.01.07'!A1" display="S.29.01.07 - Excess of Assets over Liabilities" xr:uid="{F61E9E01-A939-47C6-AFF1-FC4490511999}"/>
    <hyperlink ref="B70" location="'S.29.02.01'!A1" display="S.29.02.01 - Excess of Assets over Liabilities - explained by investments and financial liabilities" xr:uid="{097E66B2-339B-459C-B2F8-44F0BCEB21FA}"/>
    <hyperlink ref="B71" location="'S.29.03.01'!A1" display="S.29.03.01 - Excess of Assets over Liabilities - explained by technical provisions" xr:uid="{A837C98B-AAE6-4D50-A4AF-E19E7861228C}"/>
    <hyperlink ref="B72" location="'S.29.04.01'!A1" display="S.29.04.01 - Detailed analysis per period - Technical flows versus Technical provisions" xr:uid="{79944BB0-F47C-4B80-89F3-5E76583693BE}"/>
    <hyperlink ref="B73" location="'S.30.01.01'!A1" display="S.30.01.01 - Facultative covers for non-life and life business basic data" xr:uid="{BE0F2704-AC61-4C95-A6C0-E5C91D82DD22}"/>
    <hyperlink ref="B74" location="'S.30.02.01'!A1" display="S.30.02.01 - Facultative covers for non-life and life business shares data" xr:uid="{B05C9E75-8E55-4512-8295-0C5957362C00}"/>
    <hyperlink ref="B75" location="'S.30.03.01'!A1" display="S.30.03.01 - Outgoing Reinsurance Program basic data" xr:uid="{D0DA8805-EA8E-4869-9B9A-06B8353A4B7C}"/>
    <hyperlink ref="B76" location="'S.30.04.01'!A1" display="S.30.04.01 - Outgoing Reinsurance Program shares data" xr:uid="{C059C96A-1576-403E-B60F-52BD2564B740}"/>
    <hyperlink ref="B77" location="'S.31.01.01'!A1" display="S.31.01.01 - Share of reinsurers (including Finite Reinsurance and SPV's)" xr:uid="{1EB12FBF-D7F3-4771-848F-EAD624CCC132}"/>
    <hyperlink ref="B78" location="'S.31.02.01'!A1" display="S.31.02.01 - Special Purpose Vehicles" xr:uid="{BD71FF9D-20C2-4ED4-92FD-FCB367435538}"/>
  </hyperlink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34E83-11E4-478E-9CF7-4B6A232EEE18}">
  <sheetPr codeName="Blad100"/>
  <dimension ref="B2:O19"/>
  <sheetViews>
    <sheetView showGridLines="0" workbookViewId="0"/>
  </sheetViews>
  <sheetFormatPr defaultRowHeight="15"/>
  <cols>
    <col min="2" max="2" width="55.85546875" bestFit="1" customWidth="1"/>
    <col min="4" max="8" width="15.7109375" customWidth="1"/>
  </cols>
  <sheetData>
    <row r="2" spans="2:15" ht="23.25">
      <c r="B2" s="86" t="s">
        <v>653</v>
      </c>
      <c r="C2" s="87"/>
      <c r="D2" s="87"/>
      <c r="E2" s="87"/>
      <c r="F2" s="87"/>
      <c r="G2" s="87"/>
      <c r="H2" s="87"/>
      <c r="I2" s="87"/>
      <c r="J2" s="87"/>
      <c r="K2" s="87"/>
      <c r="L2" s="87"/>
      <c r="M2" s="87"/>
      <c r="N2" s="87"/>
      <c r="O2" s="87"/>
    </row>
    <row r="5" spans="2:15" ht="18.75">
      <c r="B5" s="88" t="s">
        <v>4258</v>
      </c>
      <c r="C5" s="87"/>
      <c r="D5" s="87"/>
      <c r="E5" s="87"/>
      <c r="F5" s="87"/>
      <c r="G5" s="87"/>
      <c r="H5" s="87"/>
      <c r="I5" s="87"/>
      <c r="J5" s="87"/>
      <c r="K5" s="87"/>
      <c r="L5" s="87"/>
    </row>
    <row r="9" spans="2:15">
      <c r="D9" s="92" t="s">
        <v>2877</v>
      </c>
      <c r="E9" s="93"/>
      <c r="F9" s="93"/>
      <c r="G9" s="93"/>
      <c r="H9" s="94"/>
    </row>
    <row r="10" spans="2:15">
      <c r="D10" s="95"/>
      <c r="E10" s="96"/>
      <c r="F10" s="96"/>
      <c r="G10" s="96"/>
      <c r="H10" s="97"/>
    </row>
    <row r="11" spans="2:15" ht="75">
      <c r="D11" s="55" t="s">
        <v>4239</v>
      </c>
      <c r="E11" s="55" t="s">
        <v>4242</v>
      </c>
      <c r="F11" s="55" t="s">
        <v>4244</v>
      </c>
      <c r="G11" s="55" t="s">
        <v>4246</v>
      </c>
      <c r="H11" s="55" t="s">
        <v>4248</v>
      </c>
    </row>
    <row r="12" spans="2:15">
      <c r="D12" s="45" t="s">
        <v>2879</v>
      </c>
      <c r="E12" s="45" t="s">
        <v>3225</v>
      </c>
      <c r="F12" s="45" t="s">
        <v>3229</v>
      </c>
      <c r="G12" s="45" t="s">
        <v>3233</v>
      </c>
      <c r="H12" s="45" t="s">
        <v>3236</v>
      </c>
      <c r="M12" s="13" t="str">
        <f>Show!$B$96&amp;"S.22.01.22.01 Rows {"&amp;COLUMN($C$1)&amp;"}"&amp;"@ForceFilingCode:true"</f>
        <v>!S.22.01.22.01 Rows {3}@ForceFilingCode:true</v>
      </c>
      <c r="N12" s="13" t="str">
        <f>Show!$B$96&amp;"S.22.01.22.01 Columns {"&amp;COLUMN($D$1)&amp;"}"</f>
        <v>!S.22.01.22.01 Columns {4}</v>
      </c>
    </row>
    <row r="13" spans="2:15">
      <c r="B13" s="43" t="s">
        <v>2880</v>
      </c>
      <c r="C13" s="44" t="s">
        <v>2878</v>
      </c>
      <c r="D13" s="56"/>
      <c r="E13" s="66"/>
      <c r="F13" s="66"/>
      <c r="G13" s="66"/>
      <c r="H13" s="57"/>
    </row>
    <row r="14" spans="2:15">
      <c r="B14" s="47" t="s">
        <v>4250</v>
      </c>
      <c r="C14" s="41" t="s">
        <v>2883</v>
      </c>
      <c r="D14" s="60"/>
      <c r="E14" s="60"/>
      <c r="F14" s="60"/>
      <c r="G14" s="60"/>
      <c r="H14" s="60"/>
    </row>
    <row r="15" spans="2:15">
      <c r="B15" s="47" t="s">
        <v>4251</v>
      </c>
      <c r="C15" s="41" t="s">
        <v>2885</v>
      </c>
      <c r="D15" s="60"/>
      <c r="E15" s="60"/>
      <c r="F15" s="60"/>
      <c r="G15" s="60"/>
      <c r="H15" s="60"/>
    </row>
    <row r="16" spans="2:15">
      <c r="B16" s="47" t="s">
        <v>4253</v>
      </c>
      <c r="C16" s="41" t="s">
        <v>3078</v>
      </c>
      <c r="D16" s="60"/>
      <c r="E16" s="60"/>
      <c r="F16" s="60"/>
      <c r="G16" s="60"/>
      <c r="H16" s="60"/>
    </row>
    <row r="17" spans="2:14">
      <c r="B17" s="47" t="s">
        <v>711</v>
      </c>
      <c r="C17" s="41" t="s">
        <v>2897</v>
      </c>
      <c r="D17" s="60"/>
      <c r="E17" s="60"/>
      <c r="F17" s="60"/>
      <c r="G17" s="60"/>
      <c r="H17" s="60"/>
    </row>
    <row r="19" spans="2:14">
      <c r="M19" s="13" t="str">
        <f>Show!$B$96&amp;Show!$B$96&amp;"S.22.01.22.01 Rows {"&amp;COLUMN($C$1)&amp;"}"</f>
        <v>!!S.22.01.22.01 Rows {3}</v>
      </c>
      <c r="N19" s="13" t="str">
        <f>Show!$B$96&amp;Show!$B$96&amp;"S.22.01.22.01 Columns {"&amp;COLUMN($H$1)&amp;"}"</f>
        <v>!!S.22.01.22.01 Columns {8}</v>
      </c>
    </row>
  </sheetData>
  <sheetProtection sheet="1" objects="1" scenarios="1"/>
  <mergeCells count="3">
    <mergeCell ref="B2:O2"/>
    <mergeCell ref="B5:L5"/>
    <mergeCell ref="D9:H10"/>
  </mergeCell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82809-A56D-438B-9986-E349960C319D}">
  <sheetPr codeName="Blad101"/>
  <dimension ref="B2:P65"/>
  <sheetViews>
    <sheetView showGridLines="0" workbookViewId="0"/>
  </sheetViews>
  <sheetFormatPr defaultRowHeight="15"/>
  <cols>
    <col min="2" max="2" width="53.28515625" bestFit="1" customWidth="1"/>
    <col min="4" max="8" width="15.7109375" customWidth="1"/>
  </cols>
  <sheetData>
    <row r="2" spans="2:16" ht="23.25">
      <c r="B2" s="86" t="s">
        <v>658</v>
      </c>
      <c r="C2" s="87"/>
      <c r="D2" s="87"/>
      <c r="E2" s="87"/>
      <c r="F2" s="87"/>
      <c r="G2" s="87"/>
      <c r="H2" s="87"/>
      <c r="I2" s="87"/>
      <c r="J2" s="87"/>
      <c r="K2" s="87"/>
      <c r="L2" s="87"/>
      <c r="M2" s="87"/>
      <c r="N2" s="87"/>
      <c r="O2" s="87"/>
    </row>
    <row r="5" spans="2:16" ht="18.75">
      <c r="B5" s="88" t="s">
        <v>4259</v>
      </c>
      <c r="C5" s="87"/>
      <c r="D5" s="87"/>
      <c r="E5" s="87"/>
      <c r="F5" s="87"/>
      <c r="G5" s="87"/>
      <c r="H5" s="87"/>
      <c r="I5" s="87"/>
      <c r="J5" s="87"/>
      <c r="K5" s="87"/>
      <c r="L5" s="87"/>
    </row>
    <row r="7" spans="2:16">
      <c r="B7" t="s">
        <v>3110</v>
      </c>
      <c r="O7" s="13" t="str">
        <f>Show!$B$97&amp;"SR.22.02.01.01 Table label {"&amp;COLUMN($C$1)&amp;"}"</f>
        <v>!SR.22.02.01.01 Table label {3}</v>
      </c>
      <c r="P7" s="13" t="str">
        <f>Show!$B$97&amp;"SR.22.02.01.01 Table value {"&amp;COLUMN($D$1)&amp;"}"</f>
        <v>!SR.22.02.01.01 Table value {4}</v>
      </c>
    </row>
    <row r="8" spans="2:16">
      <c r="B8" t="s">
        <v>3111</v>
      </c>
    </row>
    <row r="9" spans="2:16">
      <c r="B9" s="40" t="s">
        <v>4260</v>
      </c>
      <c r="C9" s="53" t="s">
        <v>3113</v>
      </c>
      <c r="D9" s="50"/>
    </row>
    <row r="10" spans="2:16">
      <c r="O10" s="13" t="str">
        <f>Show!$B$97&amp;Show!$B$97&amp;"SR.22.02.01.01 Table label {"&amp;COLUMN($C$1)&amp;"}"</f>
        <v>!!SR.22.02.01.01 Table label {3}</v>
      </c>
      <c r="P10" s="13" t="str">
        <f>Show!$B$97&amp;Show!$B$97&amp;"SR.22.02.01.01 Table value {"&amp;COLUMN($D$1)&amp;"}"</f>
        <v>!!SR.22.02.01.01 Table value {4}</v>
      </c>
    </row>
    <row r="12" spans="2:16">
      <c r="D12" s="92" t="s">
        <v>2877</v>
      </c>
      <c r="E12" s="93"/>
      <c r="F12" s="93"/>
      <c r="G12" s="93"/>
      <c r="H12" s="94"/>
    </row>
    <row r="13" spans="2:16">
      <c r="D13" s="95"/>
      <c r="E13" s="96"/>
      <c r="F13" s="96"/>
      <c r="G13" s="96"/>
      <c r="H13" s="97"/>
    </row>
    <row r="14" spans="2:16">
      <c r="D14" s="98" t="s">
        <v>4261</v>
      </c>
      <c r="E14" s="100"/>
      <c r="F14" s="99"/>
      <c r="G14" s="98" t="s">
        <v>4265</v>
      </c>
      <c r="H14" s="99"/>
    </row>
    <row r="15" spans="2:16" ht="75">
      <c r="D15" s="55" t="s">
        <v>4262</v>
      </c>
      <c r="E15" s="55" t="s">
        <v>4263</v>
      </c>
      <c r="F15" s="55" t="s">
        <v>4264</v>
      </c>
      <c r="G15" s="55" t="s">
        <v>4266</v>
      </c>
      <c r="H15" s="55" t="s">
        <v>4267</v>
      </c>
    </row>
    <row r="16" spans="2:16">
      <c r="D16" s="45" t="s">
        <v>3219</v>
      </c>
      <c r="E16" s="45" t="s">
        <v>3225</v>
      </c>
      <c r="F16" s="45" t="s">
        <v>3223</v>
      </c>
      <c r="G16" s="45" t="s">
        <v>3229</v>
      </c>
      <c r="H16" s="45" t="s">
        <v>3231</v>
      </c>
      <c r="O16" s="13" t="str">
        <f>Show!$B$97&amp;"SR.22.02.01.01 Rows {"&amp;COLUMN($C$1)&amp;"}"&amp;"@ForceFilingCode:true"</f>
        <v>!SR.22.02.01.01 Rows {3}@ForceFilingCode:true</v>
      </c>
      <c r="P16" s="13" t="str">
        <f>Show!$B$97&amp;"SR.22.02.01.01 Columns {"&amp;COLUMN($D$1)&amp;"}"</f>
        <v>!SR.22.02.01.01 Columns {4}</v>
      </c>
    </row>
    <row r="17" spans="2:8">
      <c r="B17" s="43" t="s">
        <v>2880</v>
      </c>
      <c r="C17" s="44" t="s">
        <v>2878</v>
      </c>
      <c r="D17" s="58"/>
      <c r="E17" s="67"/>
      <c r="F17" s="67"/>
      <c r="G17" s="67"/>
      <c r="H17" s="59"/>
    </row>
    <row r="18" spans="2:8">
      <c r="B18" s="47" t="s">
        <v>3800</v>
      </c>
      <c r="C18" s="44" t="s">
        <v>2878</v>
      </c>
      <c r="D18" s="56"/>
      <c r="E18" s="66"/>
      <c r="F18" s="66"/>
      <c r="G18" s="66"/>
      <c r="H18" s="57"/>
    </row>
    <row r="19" spans="2:8">
      <c r="B19" s="49" t="s">
        <v>3801</v>
      </c>
      <c r="C19" s="41" t="s">
        <v>2883</v>
      </c>
      <c r="D19" s="60"/>
      <c r="E19" s="60"/>
      <c r="F19" s="60"/>
      <c r="G19" s="60"/>
      <c r="H19" s="60"/>
    </row>
    <row r="20" spans="2:8">
      <c r="B20" s="49" t="s">
        <v>3802</v>
      </c>
      <c r="C20" s="41" t="s">
        <v>2885</v>
      </c>
      <c r="D20" s="60"/>
      <c r="E20" s="60"/>
      <c r="F20" s="60"/>
      <c r="G20" s="60"/>
      <c r="H20" s="60"/>
    </row>
    <row r="21" spans="2:8">
      <c r="B21" s="49" t="s">
        <v>3803</v>
      </c>
      <c r="C21" s="41" t="s">
        <v>2887</v>
      </c>
      <c r="D21" s="60"/>
      <c r="E21" s="60"/>
      <c r="F21" s="60"/>
      <c r="G21" s="60"/>
      <c r="H21" s="60"/>
    </row>
    <row r="22" spans="2:8">
      <c r="B22" s="49" t="s">
        <v>3804</v>
      </c>
      <c r="C22" s="41" t="s">
        <v>2889</v>
      </c>
      <c r="D22" s="60"/>
      <c r="E22" s="60"/>
      <c r="F22" s="60"/>
      <c r="G22" s="60"/>
      <c r="H22" s="60"/>
    </row>
    <row r="23" spans="2:8">
      <c r="B23" s="49" t="s">
        <v>3805</v>
      </c>
      <c r="C23" s="41" t="s">
        <v>3078</v>
      </c>
      <c r="D23" s="60"/>
      <c r="E23" s="60"/>
      <c r="F23" s="60"/>
      <c r="G23" s="60"/>
      <c r="H23" s="60"/>
    </row>
    <row r="24" spans="2:8">
      <c r="B24" s="49" t="s">
        <v>3806</v>
      </c>
      <c r="C24" s="41" t="s">
        <v>2891</v>
      </c>
      <c r="D24" s="60"/>
      <c r="E24" s="60"/>
      <c r="F24" s="60"/>
      <c r="G24" s="60"/>
      <c r="H24" s="60"/>
    </row>
    <row r="25" spans="2:8">
      <c r="B25" s="49" t="s">
        <v>3807</v>
      </c>
      <c r="C25" s="41" t="s">
        <v>2893</v>
      </c>
      <c r="D25" s="60"/>
      <c r="E25" s="60"/>
      <c r="F25" s="60"/>
      <c r="G25" s="60"/>
      <c r="H25" s="60"/>
    </row>
    <row r="26" spans="2:8">
      <c r="B26" s="49" t="s">
        <v>3808</v>
      </c>
      <c r="C26" s="41" t="s">
        <v>2895</v>
      </c>
      <c r="D26" s="60"/>
      <c r="E26" s="60"/>
      <c r="F26" s="60"/>
      <c r="G26" s="60"/>
      <c r="H26" s="60"/>
    </row>
    <row r="27" spans="2:8">
      <c r="B27" s="49" t="s">
        <v>3809</v>
      </c>
      <c r="C27" s="41" t="s">
        <v>2897</v>
      </c>
      <c r="D27" s="60"/>
      <c r="E27" s="60"/>
      <c r="F27" s="60"/>
      <c r="G27" s="60"/>
      <c r="H27" s="60"/>
    </row>
    <row r="28" spans="2:8">
      <c r="B28" s="49" t="s">
        <v>22</v>
      </c>
      <c r="C28" s="41" t="s">
        <v>2899</v>
      </c>
      <c r="D28" s="60"/>
      <c r="E28" s="60"/>
      <c r="F28" s="60"/>
      <c r="G28" s="60"/>
      <c r="H28" s="60"/>
    </row>
    <row r="29" spans="2:8">
      <c r="B29" s="49" t="s">
        <v>28</v>
      </c>
      <c r="C29" s="41" t="s">
        <v>2901</v>
      </c>
      <c r="D29" s="60"/>
      <c r="E29" s="60"/>
      <c r="F29" s="60"/>
      <c r="G29" s="60"/>
      <c r="H29" s="60"/>
    </row>
    <row r="30" spans="2:8">
      <c r="B30" s="49" t="s">
        <v>31</v>
      </c>
      <c r="C30" s="41" t="s">
        <v>2903</v>
      </c>
      <c r="D30" s="60"/>
      <c r="E30" s="60"/>
      <c r="F30" s="60"/>
      <c r="G30" s="60"/>
      <c r="H30" s="60"/>
    </row>
    <row r="31" spans="2:8">
      <c r="B31" s="49" t="s">
        <v>37</v>
      </c>
      <c r="C31" s="41" t="s">
        <v>2905</v>
      </c>
      <c r="D31" s="60"/>
      <c r="E31" s="60"/>
      <c r="F31" s="60"/>
      <c r="G31" s="60"/>
      <c r="H31" s="60"/>
    </row>
    <row r="32" spans="2:8">
      <c r="B32" s="49" t="s">
        <v>40</v>
      </c>
      <c r="C32" s="41" t="s">
        <v>2907</v>
      </c>
      <c r="D32" s="60"/>
      <c r="E32" s="60"/>
      <c r="F32" s="60"/>
      <c r="G32" s="60"/>
      <c r="H32" s="60"/>
    </row>
    <row r="33" spans="2:8">
      <c r="B33" s="49" t="s">
        <v>44</v>
      </c>
      <c r="C33" s="41" t="s">
        <v>2909</v>
      </c>
      <c r="D33" s="60"/>
      <c r="E33" s="60"/>
      <c r="F33" s="60"/>
      <c r="G33" s="60"/>
      <c r="H33" s="60"/>
    </row>
    <row r="34" spans="2:8">
      <c r="B34" s="49" t="s">
        <v>47</v>
      </c>
      <c r="C34" s="41" t="s">
        <v>2911</v>
      </c>
      <c r="D34" s="60"/>
      <c r="E34" s="60"/>
      <c r="F34" s="60"/>
      <c r="G34" s="60"/>
      <c r="H34" s="60"/>
    </row>
    <row r="35" spans="2:8">
      <c r="B35" s="49" t="s">
        <v>51</v>
      </c>
      <c r="C35" s="41" t="s">
        <v>2913</v>
      </c>
      <c r="D35" s="60"/>
      <c r="E35" s="60"/>
      <c r="F35" s="60"/>
      <c r="G35" s="60"/>
      <c r="H35" s="60"/>
    </row>
    <row r="36" spans="2:8">
      <c r="B36" s="49" t="s">
        <v>54</v>
      </c>
      <c r="C36" s="41" t="s">
        <v>2915</v>
      </c>
      <c r="D36" s="60"/>
      <c r="E36" s="60"/>
      <c r="F36" s="60"/>
      <c r="G36" s="60"/>
      <c r="H36" s="60"/>
    </row>
    <row r="37" spans="2:8">
      <c r="B37" s="49" t="s">
        <v>58</v>
      </c>
      <c r="C37" s="41" t="s">
        <v>2917</v>
      </c>
      <c r="D37" s="60"/>
      <c r="E37" s="60"/>
      <c r="F37" s="60"/>
      <c r="G37" s="60"/>
      <c r="H37" s="60"/>
    </row>
    <row r="38" spans="2:8">
      <c r="B38" s="49" t="s">
        <v>61</v>
      </c>
      <c r="C38" s="41" t="s">
        <v>2919</v>
      </c>
      <c r="D38" s="60"/>
      <c r="E38" s="60"/>
      <c r="F38" s="60"/>
      <c r="G38" s="60"/>
      <c r="H38" s="60"/>
    </row>
    <row r="39" spans="2:8">
      <c r="B39" s="49" t="s">
        <v>3810</v>
      </c>
      <c r="C39" s="41" t="s">
        <v>2921</v>
      </c>
      <c r="D39" s="60"/>
      <c r="E39" s="60"/>
      <c r="F39" s="60"/>
      <c r="G39" s="60"/>
      <c r="H39" s="60"/>
    </row>
    <row r="40" spans="2:8">
      <c r="B40" s="49" t="s">
        <v>3811</v>
      </c>
      <c r="C40" s="41" t="s">
        <v>2923</v>
      </c>
      <c r="D40" s="60"/>
      <c r="E40" s="60"/>
      <c r="F40" s="60"/>
      <c r="G40" s="60"/>
      <c r="H40" s="60"/>
    </row>
    <row r="41" spans="2:8">
      <c r="B41" s="49" t="s">
        <v>3812</v>
      </c>
      <c r="C41" s="41" t="s">
        <v>2925</v>
      </c>
      <c r="D41" s="60"/>
      <c r="E41" s="60"/>
      <c r="F41" s="60"/>
      <c r="G41" s="60"/>
      <c r="H41" s="60"/>
    </row>
    <row r="42" spans="2:8">
      <c r="B42" s="49" t="s">
        <v>3813</v>
      </c>
      <c r="C42" s="41" t="s">
        <v>2927</v>
      </c>
      <c r="D42" s="60"/>
      <c r="E42" s="60"/>
      <c r="F42" s="60"/>
      <c r="G42" s="60"/>
      <c r="H42" s="60"/>
    </row>
    <row r="43" spans="2:8">
      <c r="B43" s="49" t="s">
        <v>3814</v>
      </c>
      <c r="C43" s="41" t="s">
        <v>2929</v>
      </c>
      <c r="D43" s="60"/>
      <c r="E43" s="60"/>
      <c r="F43" s="60"/>
      <c r="G43" s="60"/>
      <c r="H43" s="60"/>
    </row>
    <row r="44" spans="2:8">
      <c r="B44" s="49" t="s">
        <v>3815</v>
      </c>
      <c r="C44" s="41" t="s">
        <v>2931</v>
      </c>
      <c r="D44" s="60"/>
      <c r="E44" s="60"/>
      <c r="F44" s="60"/>
      <c r="G44" s="60"/>
      <c r="H44" s="60"/>
    </row>
    <row r="45" spans="2:8">
      <c r="B45" s="49" t="s">
        <v>3816</v>
      </c>
      <c r="C45" s="41" t="s">
        <v>2933</v>
      </c>
      <c r="D45" s="60"/>
      <c r="E45" s="60"/>
      <c r="F45" s="60"/>
      <c r="G45" s="60"/>
      <c r="H45" s="60"/>
    </row>
    <row r="46" spans="2:8">
      <c r="B46" s="49" t="s">
        <v>3817</v>
      </c>
      <c r="C46" s="41" t="s">
        <v>2935</v>
      </c>
      <c r="D46" s="60"/>
      <c r="E46" s="60"/>
      <c r="F46" s="60"/>
      <c r="G46" s="60"/>
      <c r="H46" s="60"/>
    </row>
    <row r="47" spans="2:8">
      <c r="B47" s="49" t="s">
        <v>3818</v>
      </c>
      <c r="C47" s="41" t="s">
        <v>2937</v>
      </c>
      <c r="D47" s="60"/>
      <c r="E47" s="60"/>
      <c r="F47" s="60"/>
      <c r="G47" s="60"/>
      <c r="H47" s="60"/>
    </row>
    <row r="48" spans="2:8">
      <c r="B48" s="49" t="s">
        <v>3819</v>
      </c>
      <c r="C48" s="41" t="s">
        <v>2939</v>
      </c>
      <c r="D48" s="60"/>
      <c r="E48" s="60"/>
      <c r="F48" s="60"/>
      <c r="G48" s="60"/>
      <c r="H48" s="60"/>
    </row>
    <row r="49" spans="2:8">
      <c r="B49" s="49" t="s">
        <v>4268</v>
      </c>
      <c r="C49" s="41" t="s">
        <v>2941</v>
      </c>
      <c r="D49" s="60"/>
      <c r="E49" s="60"/>
      <c r="F49" s="60"/>
      <c r="G49" s="60"/>
      <c r="H49" s="60"/>
    </row>
    <row r="50" spans="2:8">
      <c r="B50" s="49" t="s">
        <v>4269</v>
      </c>
      <c r="C50" s="41" t="s">
        <v>2943</v>
      </c>
      <c r="D50" s="60"/>
      <c r="E50" s="60"/>
      <c r="F50" s="60"/>
      <c r="G50" s="60"/>
      <c r="H50" s="60"/>
    </row>
    <row r="51" spans="2:8">
      <c r="B51" s="49" t="s">
        <v>4270</v>
      </c>
      <c r="C51" s="41" t="s">
        <v>2945</v>
      </c>
      <c r="D51" s="60"/>
      <c r="E51" s="60"/>
      <c r="F51" s="60"/>
      <c r="G51" s="60"/>
      <c r="H51" s="60"/>
    </row>
    <row r="52" spans="2:8">
      <c r="B52" s="49" t="s">
        <v>4271</v>
      </c>
      <c r="C52" s="41" t="s">
        <v>2947</v>
      </c>
      <c r="D52" s="60"/>
      <c r="E52" s="60"/>
      <c r="F52" s="60"/>
      <c r="G52" s="60"/>
      <c r="H52" s="60"/>
    </row>
    <row r="53" spans="2:8">
      <c r="B53" s="49" t="s">
        <v>4272</v>
      </c>
      <c r="C53" s="41" t="s">
        <v>2949</v>
      </c>
      <c r="D53" s="60"/>
      <c r="E53" s="60"/>
      <c r="F53" s="60"/>
      <c r="G53" s="60"/>
      <c r="H53" s="60"/>
    </row>
    <row r="54" spans="2:8">
      <c r="B54" s="49" t="s">
        <v>4273</v>
      </c>
      <c r="C54" s="41" t="s">
        <v>2951</v>
      </c>
      <c r="D54" s="60"/>
      <c r="E54" s="60"/>
      <c r="F54" s="60"/>
      <c r="G54" s="60"/>
      <c r="H54" s="60"/>
    </row>
    <row r="55" spans="2:8">
      <c r="B55" s="49" t="s">
        <v>4274</v>
      </c>
      <c r="C55" s="41" t="s">
        <v>2953</v>
      </c>
      <c r="D55" s="60"/>
      <c r="E55" s="60"/>
      <c r="F55" s="60"/>
      <c r="G55" s="60"/>
      <c r="H55" s="60"/>
    </row>
    <row r="56" spans="2:8">
      <c r="B56" s="49" t="s">
        <v>4275</v>
      </c>
      <c r="C56" s="41" t="s">
        <v>2955</v>
      </c>
      <c r="D56" s="60"/>
      <c r="E56" s="60"/>
      <c r="F56" s="60"/>
      <c r="G56" s="60"/>
      <c r="H56" s="60"/>
    </row>
    <row r="57" spans="2:8">
      <c r="B57" s="49" t="s">
        <v>4276</v>
      </c>
      <c r="C57" s="41" t="s">
        <v>2957</v>
      </c>
      <c r="D57" s="60"/>
      <c r="E57" s="60"/>
      <c r="F57" s="60"/>
      <c r="G57" s="60"/>
      <c r="H57" s="60"/>
    </row>
    <row r="58" spans="2:8">
      <c r="B58" s="49" t="s">
        <v>4277</v>
      </c>
      <c r="C58" s="41" t="s">
        <v>2959</v>
      </c>
      <c r="D58" s="60"/>
      <c r="E58" s="60"/>
      <c r="F58" s="60"/>
      <c r="G58" s="60"/>
      <c r="H58" s="60"/>
    </row>
    <row r="59" spans="2:8">
      <c r="B59" s="49" t="s">
        <v>4278</v>
      </c>
      <c r="C59" s="41" t="s">
        <v>2961</v>
      </c>
      <c r="D59" s="60"/>
      <c r="E59" s="60"/>
      <c r="F59" s="60"/>
      <c r="G59" s="60"/>
      <c r="H59" s="60"/>
    </row>
    <row r="60" spans="2:8">
      <c r="B60" s="49" t="s">
        <v>4279</v>
      </c>
      <c r="C60" s="41" t="s">
        <v>2963</v>
      </c>
      <c r="D60" s="60"/>
      <c r="E60" s="60"/>
      <c r="F60" s="60"/>
      <c r="G60" s="60"/>
      <c r="H60" s="60"/>
    </row>
    <row r="61" spans="2:8">
      <c r="B61" s="49" t="s">
        <v>4280</v>
      </c>
      <c r="C61" s="41" t="s">
        <v>2965</v>
      </c>
      <c r="D61" s="60"/>
      <c r="E61" s="60"/>
      <c r="F61" s="60"/>
      <c r="G61" s="60"/>
      <c r="H61" s="60"/>
    </row>
    <row r="62" spans="2:8">
      <c r="B62" s="49" t="s">
        <v>4281</v>
      </c>
      <c r="C62" s="41" t="s">
        <v>2967</v>
      </c>
      <c r="D62" s="60"/>
      <c r="E62" s="60"/>
      <c r="F62" s="60"/>
      <c r="G62" s="60"/>
      <c r="H62" s="60"/>
    </row>
    <row r="63" spans="2:8">
      <c r="B63" s="49" t="s">
        <v>4282</v>
      </c>
      <c r="C63" s="41" t="s">
        <v>2969</v>
      </c>
      <c r="D63" s="60"/>
      <c r="E63" s="60"/>
      <c r="F63" s="60"/>
      <c r="G63" s="60"/>
      <c r="H63" s="60"/>
    </row>
    <row r="65" spans="15:16">
      <c r="O65" s="13" t="str">
        <f>Show!$B$97&amp;Show!$B$97&amp;"SR.22.02.01.01 Rows {"&amp;COLUMN($C$1)&amp;"}"</f>
        <v>!!SR.22.02.01.01 Rows {3}</v>
      </c>
      <c r="P65" s="13" t="str">
        <f>Show!$B$97&amp;Show!$B$97&amp;"SR.22.02.01.01 Columns {"&amp;COLUMN($H$1)&amp;"}"</f>
        <v>!!SR.22.02.01.01 Columns {8}</v>
      </c>
    </row>
  </sheetData>
  <sheetProtection sheet="1" objects="1" scenarios="1"/>
  <mergeCells count="5">
    <mergeCell ref="B2:O2"/>
    <mergeCell ref="B5:L5"/>
    <mergeCell ref="D12:H13"/>
    <mergeCell ref="D14:F14"/>
    <mergeCell ref="G14:H14"/>
  </mergeCell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2DB7A-054A-42B6-9E0E-B122EF76498D}">
  <sheetPr codeName="Blad102"/>
  <dimension ref="B2:O40"/>
  <sheetViews>
    <sheetView showGridLines="0" workbookViewId="0"/>
  </sheetViews>
  <sheetFormatPr defaultRowHeight="15"/>
  <cols>
    <col min="2" max="2" width="80" bestFit="1" customWidth="1"/>
    <col min="4" max="4" width="15.7109375" customWidth="1"/>
  </cols>
  <sheetData>
    <row r="2" spans="2:15" ht="23.25">
      <c r="B2" s="86" t="s">
        <v>660</v>
      </c>
      <c r="C2" s="87"/>
      <c r="D2" s="87"/>
      <c r="E2" s="87"/>
      <c r="F2" s="87"/>
      <c r="G2" s="87"/>
      <c r="H2" s="87"/>
      <c r="I2" s="87"/>
      <c r="J2" s="87"/>
      <c r="K2" s="87"/>
      <c r="L2" s="87"/>
      <c r="M2" s="87"/>
      <c r="N2" s="87"/>
      <c r="O2" s="87"/>
    </row>
    <row r="5" spans="2:15" ht="18.75">
      <c r="B5" s="88" t="s">
        <v>4283</v>
      </c>
      <c r="C5" s="87"/>
      <c r="D5" s="87"/>
      <c r="E5" s="87"/>
      <c r="F5" s="87"/>
      <c r="G5" s="87"/>
      <c r="H5" s="87"/>
      <c r="I5" s="87"/>
      <c r="J5" s="87"/>
      <c r="K5" s="87"/>
      <c r="L5" s="87"/>
    </row>
    <row r="7" spans="2:15">
      <c r="B7" t="s">
        <v>3110</v>
      </c>
      <c r="I7" s="13" t="str">
        <f>Show!$B$98&amp;"SR.22.03.01.01 Table label {"&amp;COLUMN($C$1)&amp;"}"</f>
        <v>!SR.22.03.01.01 Table label {3}</v>
      </c>
      <c r="J7" s="13" t="str">
        <f>Show!$B$98&amp;"SR.22.03.01.01 Table value {"&amp;COLUMN($D$1)&amp;"}"</f>
        <v>!SR.22.03.01.01 Table value {4}</v>
      </c>
    </row>
    <row r="8" spans="2:15">
      <c r="B8" t="s">
        <v>3111</v>
      </c>
    </row>
    <row r="9" spans="2:15">
      <c r="B9" s="40" t="s">
        <v>4260</v>
      </c>
      <c r="C9" s="53" t="s">
        <v>3113</v>
      </c>
      <c r="D9" s="50"/>
    </row>
    <row r="10" spans="2:15">
      <c r="I10" s="13" t="str">
        <f>Show!$B$98&amp;Show!$B$98&amp;"SR.22.03.01.01 Table label {"&amp;COLUMN($C$1)&amp;"}"</f>
        <v>!!SR.22.03.01.01 Table label {3}</v>
      </c>
      <c r="J10" s="13" t="str">
        <f>Show!$B$98&amp;Show!$B$98&amp;"SR.22.03.01.01 Table value {"&amp;COLUMN($D$1)&amp;"}"</f>
        <v>!!SR.22.03.01.01 Table value {4}</v>
      </c>
    </row>
    <row r="12" spans="2:15">
      <c r="D12" s="89" t="s">
        <v>2877</v>
      </c>
    </row>
    <row r="13" spans="2:15">
      <c r="D13" s="91"/>
    </row>
    <row r="14" spans="2:15">
      <c r="D14" s="89" t="s">
        <v>4284</v>
      </c>
    </row>
    <row r="15" spans="2:15">
      <c r="D15" s="91"/>
    </row>
    <row r="16" spans="2:15">
      <c r="D16" s="45" t="s">
        <v>2879</v>
      </c>
      <c r="I16" s="13" t="str">
        <f>Show!$B$98&amp;"SR.22.03.01.01 Rows {"&amp;COLUMN($C$1)&amp;"}"&amp;"@ForceFilingCode:true"</f>
        <v>!SR.22.03.01.01 Rows {3}@ForceFilingCode:true</v>
      </c>
      <c r="J16" s="13" t="str">
        <f>Show!$B$98&amp;"SR.22.03.01.01 Columns {"&amp;COLUMN($D$1)&amp;"}"</f>
        <v>!SR.22.03.01.01 Columns {4}</v>
      </c>
    </row>
    <row r="17" spans="2:4">
      <c r="B17" s="43" t="s">
        <v>2880</v>
      </c>
      <c r="C17" s="44" t="s">
        <v>2878</v>
      </c>
      <c r="D17" s="48"/>
    </row>
    <row r="18" spans="2:4">
      <c r="B18" s="47" t="s">
        <v>4285</v>
      </c>
      <c r="C18" s="44" t="s">
        <v>2878</v>
      </c>
      <c r="D18" s="46"/>
    </row>
    <row r="19" spans="2:4">
      <c r="B19" s="49" t="s">
        <v>4286</v>
      </c>
      <c r="C19" s="41" t="s">
        <v>2883</v>
      </c>
      <c r="D19" s="70"/>
    </row>
    <row r="20" spans="2:4">
      <c r="B20" s="49" t="s">
        <v>4287</v>
      </c>
      <c r="C20" s="41" t="s">
        <v>2885</v>
      </c>
      <c r="D20" s="70"/>
    </row>
    <row r="21" spans="2:4">
      <c r="B21" s="49" t="s">
        <v>4288</v>
      </c>
      <c r="C21" s="41" t="s">
        <v>2887</v>
      </c>
      <c r="D21" s="70"/>
    </row>
    <row r="22" spans="2:4">
      <c r="B22" s="49" t="s">
        <v>4289</v>
      </c>
      <c r="C22" s="41" t="s">
        <v>2889</v>
      </c>
      <c r="D22" s="70"/>
    </row>
    <row r="23" spans="2:4">
      <c r="B23" s="49" t="s">
        <v>4290</v>
      </c>
      <c r="C23" s="41" t="s">
        <v>3078</v>
      </c>
      <c r="D23" s="70"/>
    </row>
    <row r="24" spans="2:4">
      <c r="B24" s="49" t="s">
        <v>4291</v>
      </c>
      <c r="C24" s="41" t="s">
        <v>2891</v>
      </c>
      <c r="D24" s="76"/>
    </row>
    <row r="25" spans="2:4">
      <c r="B25" s="47" t="s">
        <v>292</v>
      </c>
      <c r="C25" s="44" t="s">
        <v>2878</v>
      </c>
      <c r="D25" s="46"/>
    </row>
    <row r="26" spans="2:4">
      <c r="B26" s="49" t="s">
        <v>4292</v>
      </c>
      <c r="C26" s="41" t="s">
        <v>2893</v>
      </c>
      <c r="D26" s="63"/>
    </row>
    <row r="27" spans="2:4">
      <c r="B27" s="47" t="s">
        <v>3584</v>
      </c>
      <c r="C27" s="44" t="s">
        <v>2878</v>
      </c>
      <c r="D27" s="46"/>
    </row>
    <row r="28" spans="2:4">
      <c r="B28" s="49" t="s">
        <v>4293</v>
      </c>
      <c r="C28" s="41" t="s">
        <v>2895</v>
      </c>
      <c r="D28" s="60"/>
    </row>
    <row r="29" spans="2:4">
      <c r="B29" s="49" t="s">
        <v>4294</v>
      </c>
      <c r="C29" s="41" t="s">
        <v>2897</v>
      </c>
      <c r="D29" s="60"/>
    </row>
    <row r="30" spans="2:4">
      <c r="B30" s="49" t="s">
        <v>4295</v>
      </c>
      <c r="C30" s="41" t="s">
        <v>2899</v>
      </c>
      <c r="D30" s="60"/>
    </row>
    <row r="31" spans="2:4">
      <c r="B31" s="49" t="s">
        <v>4296</v>
      </c>
      <c r="C31" s="41" t="s">
        <v>2901</v>
      </c>
      <c r="D31" s="60"/>
    </row>
    <row r="32" spans="2:4">
      <c r="B32" s="49" t="s">
        <v>4297</v>
      </c>
      <c r="C32" s="41" t="s">
        <v>2903</v>
      </c>
      <c r="D32" s="70"/>
    </row>
    <row r="33" spans="2:10">
      <c r="B33" s="49" t="s">
        <v>4298</v>
      </c>
      <c r="C33" s="41" t="s">
        <v>2905</v>
      </c>
      <c r="D33" s="60"/>
    </row>
    <row r="34" spans="2:10">
      <c r="B34" s="49" t="s">
        <v>4299</v>
      </c>
      <c r="C34" s="41" t="s">
        <v>2907</v>
      </c>
      <c r="D34" s="50"/>
    </row>
    <row r="35" spans="2:10">
      <c r="B35" s="49" t="s">
        <v>4300</v>
      </c>
      <c r="C35" s="41" t="s">
        <v>2909</v>
      </c>
      <c r="D35" s="60"/>
    </row>
    <row r="36" spans="2:10">
      <c r="B36" s="49" t="s">
        <v>4301</v>
      </c>
      <c r="C36" s="41" t="s">
        <v>2911</v>
      </c>
      <c r="D36" s="63"/>
    </row>
    <row r="37" spans="2:10">
      <c r="B37" s="47" t="s">
        <v>2389</v>
      </c>
      <c r="C37" s="44" t="s">
        <v>2878</v>
      </c>
      <c r="D37" s="46"/>
    </row>
    <row r="38" spans="2:10">
      <c r="B38" s="49" t="s">
        <v>3621</v>
      </c>
      <c r="C38" s="41" t="s">
        <v>2913</v>
      </c>
      <c r="D38" s="69"/>
    </row>
    <row r="40" spans="2:10">
      <c r="I40" s="13" t="str">
        <f>Show!$B$98&amp;Show!$B$98&amp;"SR.22.03.01.01 Rows {"&amp;COLUMN($C$1)&amp;"}"</f>
        <v>!!SR.22.03.01.01 Rows {3}</v>
      </c>
      <c r="J40" s="13" t="str">
        <f>Show!$B$98&amp;Show!$B$98&amp;"SR.22.03.01.01 Columns {"&amp;COLUMN($D$1)&amp;"}"</f>
        <v>!!SR.22.03.01.01 Columns {4}</v>
      </c>
    </row>
  </sheetData>
  <sheetProtection sheet="1" objects="1" scenarios="1"/>
  <mergeCells count="4">
    <mergeCell ref="B2:O2"/>
    <mergeCell ref="B5:L5"/>
    <mergeCell ref="D12:D13"/>
    <mergeCell ref="D14:D15"/>
  </mergeCell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D6C50-FE67-4EDF-A3BC-815D5EB4EC32}">
  <sheetPr codeName="Blad103"/>
  <dimension ref="B2:O49"/>
  <sheetViews>
    <sheetView showGridLines="0" workbookViewId="0"/>
  </sheetViews>
  <sheetFormatPr defaultRowHeight="15"/>
  <cols>
    <col min="2" max="2" width="52.85546875" bestFit="1" customWidth="1"/>
    <col min="4" max="5" width="15.7109375" customWidth="1"/>
  </cols>
  <sheetData>
    <row r="2" spans="2:15" ht="23.25">
      <c r="B2" s="86" t="s">
        <v>662</v>
      </c>
      <c r="C2" s="87"/>
      <c r="D2" s="87"/>
      <c r="E2" s="87"/>
      <c r="F2" s="87"/>
      <c r="G2" s="87"/>
      <c r="H2" s="87"/>
      <c r="I2" s="87"/>
      <c r="J2" s="87"/>
      <c r="K2" s="87"/>
      <c r="L2" s="87"/>
      <c r="M2" s="87"/>
      <c r="N2" s="87"/>
      <c r="O2" s="87"/>
    </row>
    <row r="5" spans="2:15" ht="18.75">
      <c r="B5" s="88" t="s">
        <v>4302</v>
      </c>
      <c r="C5" s="87"/>
      <c r="D5" s="87"/>
      <c r="E5" s="87"/>
      <c r="F5" s="87"/>
      <c r="G5" s="87"/>
      <c r="H5" s="87"/>
      <c r="I5" s="87"/>
      <c r="J5" s="87"/>
      <c r="K5" s="87"/>
      <c r="L5" s="87"/>
    </row>
    <row r="7" spans="2:15">
      <c r="B7" t="s">
        <v>3110</v>
      </c>
      <c r="J7" s="13" t="str">
        <f>Show!$B$99&amp;"S.22.04.01.01 Table label {"&amp;COLUMN($C$1)&amp;"}"</f>
        <v>!S.22.04.01.01 Table label {3}</v>
      </c>
      <c r="K7" s="13" t="str">
        <f>Show!$B$99&amp;"S.22.04.01.01 Table value {"&amp;COLUMN($D$1)&amp;"}"</f>
        <v>!S.22.04.01.01 Table value {4}</v>
      </c>
    </row>
    <row r="8" spans="2:15">
      <c r="B8" t="s">
        <v>3111</v>
      </c>
    </row>
    <row r="9" spans="2:15">
      <c r="B9" s="40" t="s">
        <v>4303</v>
      </c>
      <c r="C9" s="53" t="s">
        <v>3113</v>
      </c>
      <c r="D9" s="51"/>
    </row>
    <row r="10" spans="2:15">
      <c r="J10" s="13" t="str">
        <f>Show!$B$99&amp;Show!$B$99&amp;"S.22.04.01.01 Table label {"&amp;COLUMN($C$1)&amp;"}"</f>
        <v>!!S.22.04.01.01 Table label {3}</v>
      </c>
      <c r="K10" s="13" t="str">
        <f>Show!$B$99&amp;Show!$B$99&amp;"S.22.04.01.01 Table value {"&amp;COLUMN($D$1)&amp;"}"</f>
        <v>!!S.22.04.01.01 Table value {4}</v>
      </c>
    </row>
    <row r="12" spans="2:15">
      <c r="D12" s="89" t="s">
        <v>2877</v>
      </c>
    </row>
    <row r="13" spans="2:15">
      <c r="D13" s="91"/>
    </row>
    <row r="14" spans="2:15" ht="30">
      <c r="D14" s="55" t="s">
        <v>4304</v>
      </c>
    </row>
    <row r="15" spans="2:15">
      <c r="D15" s="45" t="s">
        <v>2879</v>
      </c>
      <c r="J15" s="13" t="str">
        <f>Show!$B$99&amp;"S.22.04.01.01 Rows {"&amp;COLUMN($C$1)&amp;"}"&amp;"@ForceFilingCode:true"</f>
        <v>!S.22.04.01.01 Rows {3}@ForceFilingCode:true</v>
      </c>
      <c r="K15" s="13" t="str">
        <f>Show!$B$99&amp;"S.22.04.01.01 Columns {"&amp;COLUMN($D$1)&amp;"}"</f>
        <v>!S.22.04.01.01 Columns {4}</v>
      </c>
    </row>
    <row r="16" spans="2:15">
      <c r="B16" s="43" t="s">
        <v>2880</v>
      </c>
      <c r="C16" s="44" t="s">
        <v>2878</v>
      </c>
      <c r="D16" s="46"/>
    </row>
    <row r="17" spans="2:12">
      <c r="B17" s="47" t="s">
        <v>4305</v>
      </c>
      <c r="C17" s="41" t="s">
        <v>2883</v>
      </c>
      <c r="D17" s="70"/>
    </row>
    <row r="18" spans="2:12">
      <c r="B18" s="47" t="s">
        <v>4306</v>
      </c>
      <c r="C18" s="41" t="s">
        <v>2885</v>
      </c>
      <c r="D18" s="70"/>
    </row>
    <row r="19" spans="2:12">
      <c r="B19" s="47" t="s">
        <v>4307</v>
      </c>
      <c r="C19" s="41" t="s">
        <v>2887</v>
      </c>
      <c r="D19" s="70"/>
    </row>
    <row r="20" spans="2:12">
      <c r="B20" s="47" t="s">
        <v>4304</v>
      </c>
      <c r="C20" s="41" t="s">
        <v>2889</v>
      </c>
      <c r="D20" s="70"/>
    </row>
    <row r="22" spans="2:12">
      <c r="J22" s="13" t="str">
        <f>Show!$B$99&amp;Show!$B$99&amp;"S.22.04.01.01 Rows {"&amp;COLUMN($C$1)&amp;"}"</f>
        <v>!!S.22.04.01.01 Rows {3}</v>
      </c>
      <c r="K22" s="13" t="str">
        <f>Show!$B$99&amp;Show!$B$99&amp;"S.22.04.01.01 Columns {"&amp;COLUMN($D$1)&amp;"}"</f>
        <v>!!S.22.04.01.01 Columns {4}</v>
      </c>
    </row>
    <row r="24" spans="2:12" ht="18.75">
      <c r="B24" s="88" t="s">
        <v>4308</v>
      </c>
      <c r="C24" s="87"/>
      <c r="D24" s="87"/>
      <c r="E24" s="87"/>
      <c r="F24" s="87"/>
      <c r="G24" s="87"/>
      <c r="H24" s="87"/>
      <c r="I24" s="87"/>
      <c r="J24" s="87"/>
      <c r="K24" s="87"/>
      <c r="L24" s="87"/>
    </row>
    <row r="26" spans="2:12">
      <c r="B26" t="s">
        <v>3110</v>
      </c>
      <c r="J26" s="13" t="str">
        <f>Show!$B$99&amp;"S.22.04.01.02 Table label {"&amp;COLUMN($C$1)&amp;"}"</f>
        <v>!S.22.04.01.02 Table label {3}</v>
      </c>
      <c r="K26" s="13" t="str">
        <f>Show!$B$99&amp;"S.22.04.01.02 Table value {"&amp;COLUMN($D$1)&amp;"}"</f>
        <v>!S.22.04.01.02 Table value {4}</v>
      </c>
    </row>
    <row r="27" spans="2:12">
      <c r="B27" t="s">
        <v>3111</v>
      </c>
    </row>
    <row r="28" spans="2:12">
      <c r="B28" s="40" t="s">
        <v>4303</v>
      </c>
      <c r="C28" s="53" t="s">
        <v>3113</v>
      </c>
      <c r="D28" s="51"/>
    </row>
    <row r="29" spans="2:12">
      <c r="J29" s="13" t="str">
        <f>Show!$B$99&amp;Show!$B$99&amp;"S.22.04.01.02 Table label {"&amp;COLUMN($C$1)&amp;"}"</f>
        <v>!!S.22.04.01.02 Table label {3}</v>
      </c>
      <c r="K29" s="13" t="str">
        <f>Show!$B$99&amp;Show!$B$99&amp;"S.22.04.01.02 Table value {"&amp;COLUMN($D$1)&amp;"}"</f>
        <v>!!S.22.04.01.02 Table value {4}</v>
      </c>
    </row>
    <row r="31" spans="2:12">
      <c r="D31" s="92" t="s">
        <v>2877</v>
      </c>
      <c r="E31" s="94"/>
    </row>
    <row r="32" spans="2:12">
      <c r="D32" s="95"/>
      <c r="E32" s="97"/>
    </row>
    <row r="33" spans="2:11" ht="75">
      <c r="D33" s="55" t="s">
        <v>3764</v>
      </c>
      <c r="E33" s="55" t="s">
        <v>4309</v>
      </c>
    </row>
    <row r="34" spans="2:11">
      <c r="D34" s="45" t="s">
        <v>3219</v>
      </c>
      <c r="E34" s="45" t="s">
        <v>3225</v>
      </c>
      <c r="J34" s="13" t="str">
        <f>Show!$B$99&amp;"S.22.04.01.02 Rows {"&amp;COLUMN($C$1)&amp;"}"&amp;"@ForceFilingCode:true"</f>
        <v>!S.22.04.01.02 Rows {3}@ForceFilingCode:true</v>
      </c>
      <c r="K34" s="13" t="str">
        <f>Show!$B$99&amp;"S.22.04.01.02 Columns {"&amp;COLUMN($D$1)&amp;"}"</f>
        <v>!S.22.04.01.02 Columns {4}</v>
      </c>
    </row>
    <row r="35" spans="2:11">
      <c r="B35" s="43" t="s">
        <v>2880</v>
      </c>
      <c r="C35" s="44" t="s">
        <v>2878</v>
      </c>
      <c r="D35" s="56"/>
      <c r="E35" s="57"/>
    </row>
    <row r="36" spans="2:11">
      <c r="B36" s="47" t="s">
        <v>4310</v>
      </c>
      <c r="C36" s="41" t="s">
        <v>2899</v>
      </c>
      <c r="D36" s="60"/>
      <c r="E36" s="69"/>
    </row>
    <row r="37" spans="2:11">
      <c r="B37" s="47" t="s">
        <v>4311</v>
      </c>
      <c r="C37" s="41" t="s">
        <v>2901</v>
      </c>
      <c r="D37" s="60"/>
      <c r="E37" s="69"/>
    </row>
    <row r="38" spans="2:11">
      <c r="B38" s="47" t="s">
        <v>4312</v>
      </c>
      <c r="C38" s="41" t="s">
        <v>2903</v>
      </c>
      <c r="D38" s="60"/>
      <c r="E38" s="69"/>
    </row>
    <row r="39" spans="2:11">
      <c r="B39" s="47" t="s">
        <v>4313</v>
      </c>
      <c r="C39" s="41" t="s">
        <v>2905</v>
      </c>
      <c r="D39" s="60"/>
      <c r="E39" s="69"/>
    </row>
    <row r="40" spans="2:11">
      <c r="B40" s="47" t="s">
        <v>4314</v>
      </c>
      <c r="C40" s="41" t="s">
        <v>2907</v>
      </c>
      <c r="D40" s="60"/>
      <c r="E40" s="69"/>
    </row>
    <row r="41" spans="2:11">
      <c r="B41" s="47" t="s">
        <v>4315</v>
      </c>
      <c r="C41" s="41" t="s">
        <v>2909</v>
      </c>
      <c r="D41" s="60"/>
      <c r="E41" s="69"/>
    </row>
    <row r="42" spans="2:11">
      <c r="B42" s="47" t="s">
        <v>4316</v>
      </c>
      <c r="C42" s="41" t="s">
        <v>2911</v>
      </c>
      <c r="D42" s="60"/>
      <c r="E42" s="69"/>
    </row>
    <row r="43" spans="2:11">
      <c r="B43" s="47" t="s">
        <v>4317</v>
      </c>
      <c r="C43" s="41" t="s">
        <v>2913</v>
      </c>
      <c r="D43" s="60"/>
      <c r="E43" s="69"/>
    </row>
    <row r="44" spans="2:11">
      <c r="B44" s="47" t="s">
        <v>4318</v>
      </c>
      <c r="C44" s="41" t="s">
        <v>2915</v>
      </c>
      <c r="D44" s="60"/>
      <c r="E44" s="69"/>
    </row>
    <row r="45" spans="2:11">
      <c r="B45" s="47" t="s">
        <v>4319</v>
      </c>
      <c r="C45" s="41" t="s">
        <v>2917</v>
      </c>
      <c r="D45" s="60"/>
      <c r="E45" s="69"/>
    </row>
    <row r="46" spans="2:11">
      <c r="B46" s="47" t="s">
        <v>4320</v>
      </c>
      <c r="C46" s="41" t="s">
        <v>2919</v>
      </c>
      <c r="D46" s="60"/>
      <c r="E46" s="69"/>
    </row>
    <row r="47" spans="2:11">
      <c r="B47" s="47" t="s">
        <v>4321</v>
      </c>
      <c r="C47" s="41" t="s">
        <v>2921</v>
      </c>
      <c r="D47" s="60"/>
      <c r="E47" s="69"/>
    </row>
    <row r="49" spans="10:11">
      <c r="J49" s="13" t="str">
        <f>Show!$B$99&amp;Show!$B$99&amp;"S.22.04.01.02 Rows {"&amp;COLUMN($C$1)&amp;"}"</f>
        <v>!!S.22.04.01.02 Rows {3}</v>
      </c>
      <c r="K49" s="13" t="str">
        <f>Show!$B$99&amp;Show!$B$99&amp;"S.22.04.01.02 Columns {"&amp;COLUMN($E$1)&amp;"}"</f>
        <v>!!S.22.04.01.02 Columns {5}</v>
      </c>
    </row>
  </sheetData>
  <sheetProtection sheet="1" objects="1" scenarios="1"/>
  <mergeCells count="5">
    <mergeCell ref="B2:O2"/>
    <mergeCell ref="B5:L5"/>
    <mergeCell ref="D12:D13"/>
    <mergeCell ref="B24:L24"/>
    <mergeCell ref="D31:E32"/>
  </mergeCells>
  <dataValidations count="1">
    <dataValidation type="list" errorStyle="warning" allowBlank="1" showInputMessage="1" showErrorMessage="1" sqref="D9 D28" xr:uid="{D06D9F5F-E80A-4ADD-BAD6-0A0377BC3C01}">
      <formula1>hier_CU_5</formula1>
    </dataValidation>
  </dataValidation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7BED8-71DD-4160-AAB8-38DBCD5C2291}">
  <sheetPr codeName="Blad104"/>
  <dimension ref="B2:O25"/>
  <sheetViews>
    <sheetView showGridLines="0" workbookViewId="0"/>
  </sheetViews>
  <sheetFormatPr defaultRowHeight="15"/>
  <cols>
    <col min="2" max="2" width="72.140625" bestFit="1" customWidth="1"/>
    <col min="4" max="4" width="15.7109375" customWidth="1"/>
  </cols>
  <sheetData>
    <row r="2" spans="2:15" ht="23.25">
      <c r="B2" s="86" t="s">
        <v>664</v>
      </c>
      <c r="C2" s="87"/>
      <c r="D2" s="87"/>
      <c r="E2" s="87"/>
      <c r="F2" s="87"/>
      <c r="G2" s="87"/>
      <c r="H2" s="87"/>
      <c r="I2" s="87"/>
      <c r="J2" s="87"/>
      <c r="K2" s="87"/>
      <c r="L2" s="87"/>
      <c r="M2" s="87"/>
      <c r="N2" s="87"/>
      <c r="O2" s="87"/>
    </row>
    <row r="5" spans="2:15" ht="18.75">
      <c r="B5" s="88" t="s">
        <v>4322</v>
      </c>
      <c r="C5" s="87"/>
      <c r="D5" s="87"/>
      <c r="E5" s="87"/>
      <c r="F5" s="87"/>
      <c r="G5" s="87"/>
      <c r="H5" s="87"/>
      <c r="I5" s="87"/>
      <c r="J5" s="87"/>
      <c r="K5" s="87"/>
      <c r="L5" s="87"/>
    </row>
    <row r="9" spans="2:15">
      <c r="D9" s="89" t="s">
        <v>2877</v>
      </c>
    </row>
    <row r="10" spans="2:15">
      <c r="D10" s="90"/>
    </row>
    <row r="11" spans="2:15">
      <c r="D11" s="90"/>
    </row>
    <row r="12" spans="2:15">
      <c r="D12" s="91"/>
    </row>
    <row r="13" spans="2:15">
      <c r="D13" s="45" t="s">
        <v>2879</v>
      </c>
      <c r="I13" s="13" t="str">
        <f>Show!$B$100&amp;"S.22.05.01.01 Rows {"&amp;COLUMN($C$1)&amp;"}"&amp;"@ForceFilingCode:true"</f>
        <v>!S.22.05.01.01 Rows {3}@ForceFilingCode:true</v>
      </c>
      <c r="J13" s="13" t="str">
        <f>Show!$B$100&amp;"S.22.05.01.01 Columns {"&amp;COLUMN($D$1)&amp;"}"</f>
        <v>!S.22.05.01.01 Columns {4}</v>
      </c>
    </row>
    <row r="14" spans="2:15">
      <c r="B14" s="43" t="s">
        <v>2880</v>
      </c>
      <c r="C14" s="44" t="s">
        <v>2878</v>
      </c>
      <c r="D14" s="46"/>
    </row>
    <row r="15" spans="2:15">
      <c r="B15" s="47" t="s">
        <v>4323</v>
      </c>
      <c r="C15" s="41" t="s">
        <v>2883</v>
      </c>
      <c r="D15" s="63"/>
    </row>
    <row r="16" spans="2:15">
      <c r="B16" s="47" t="s">
        <v>4324</v>
      </c>
      <c r="C16" s="44" t="s">
        <v>2878</v>
      </c>
      <c r="D16" s="46"/>
    </row>
    <row r="17" spans="2:10">
      <c r="B17" s="49" t="s">
        <v>4325</v>
      </c>
      <c r="C17" s="41" t="s">
        <v>2885</v>
      </c>
      <c r="D17" s="60"/>
    </row>
    <row r="18" spans="2:10">
      <c r="B18" s="49" t="s">
        <v>3764</v>
      </c>
      <c r="C18" s="41" t="s">
        <v>2887</v>
      </c>
      <c r="D18" s="60"/>
    </row>
    <row r="19" spans="2:10">
      <c r="B19" s="49" t="s">
        <v>4326</v>
      </c>
      <c r="C19" s="41" t="s">
        <v>2889</v>
      </c>
      <c r="D19" s="60"/>
    </row>
    <row r="20" spans="2:10">
      <c r="B20" s="49" t="s">
        <v>4327</v>
      </c>
      <c r="C20" s="41" t="s">
        <v>3078</v>
      </c>
      <c r="D20" s="60"/>
    </row>
    <row r="21" spans="2:10">
      <c r="B21" s="49" t="s">
        <v>4328</v>
      </c>
      <c r="C21" s="41" t="s">
        <v>2891</v>
      </c>
      <c r="D21" s="70"/>
    </row>
    <row r="22" spans="2:10">
      <c r="B22" s="49" t="s">
        <v>4329</v>
      </c>
      <c r="C22" s="41" t="s">
        <v>2893</v>
      </c>
      <c r="D22" s="60"/>
    </row>
    <row r="23" spans="2:10">
      <c r="B23" s="49" t="s">
        <v>4330</v>
      </c>
      <c r="C23" s="41" t="s">
        <v>2895</v>
      </c>
      <c r="D23" s="60"/>
    </row>
    <row r="25" spans="2:10">
      <c r="I25" s="13" t="str">
        <f>Show!$B$100&amp;Show!$B$100&amp;"S.22.05.01.01 Rows {"&amp;COLUMN($C$1)&amp;"}"</f>
        <v>!!S.22.05.01.01 Rows {3}</v>
      </c>
      <c r="J25" s="13" t="str">
        <f>Show!$B$100&amp;Show!$B$100&amp;"S.22.05.01.01 Columns {"&amp;COLUMN($D$1)&amp;"}"</f>
        <v>!!S.22.05.01.01 Columns {4}</v>
      </c>
    </row>
  </sheetData>
  <sheetProtection sheet="1" objects="1" scenarios="1"/>
  <mergeCells count="3">
    <mergeCell ref="B2:O2"/>
    <mergeCell ref="B5:L5"/>
    <mergeCell ref="D9:D12"/>
  </mergeCells>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A88FA-485D-4B4E-B4B1-4DD2FABFEFA5}">
  <sheetPr codeName="Blad105"/>
  <dimension ref="B2:O71"/>
  <sheetViews>
    <sheetView showGridLines="0" workbookViewId="0"/>
  </sheetViews>
  <sheetFormatPr defaultRowHeight="15"/>
  <cols>
    <col min="2" max="2" width="84.7109375" bestFit="1" customWidth="1"/>
    <col min="4" max="4" width="40.7109375" customWidth="1"/>
    <col min="5" max="6" width="15.7109375" customWidth="1"/>
  </cols>
  <sheetData>
    <row r="2" spans="2:15" ht="23.25">
      <c r="B2" s="86" t="s">
        <v>666</v>
      </c>
      <c r="C2" s="87"/>
      <c r="D2" s="87"/>
      <c r="E2" s="87"/>
      <c r="F2" s="87"/>
      <c r="G2" s="87"/>
      <c r="H2" s="87"/>
      <c r="I2" s="87"/>
      <c r="J2" s="87"/>
      <c r="K2" s="87"/>
      <c r="L2" s="87"/>
      <c r="M2" s="87"/>
      <c r="N2" s="87"/>
      <c r="O2" s="87"/>
    </row>
    <row r="5" spans="2:15" ht="18.75">
      <c r="B5" s="88" t="s">
        <v>4331</v>
      </c>
      <c r="C5" s="87"/>
      <c r="D5" s="87"/>
      <c r="E5" s="87"/>
      <c r="F5" s="87"/>
      <c r="G5" s="87"/>
      <c r="H5" s="87"/>
      <c r="I5" s="87"/>
      <c r="J5" s="87"/>
      <c r="K5" s="87"/>
      <c r="L5" s="87"/>
    </row>
    <row r="7" spans="2:15">
      <c r="B7" t="s">
        <v>3110</v>
      </c>
      <c r="M7" s="13" t="str">
        <f>Show!$B$101&amp;"S.22.06.01.01 Table label {"&amp;COLUMN($C$1)&amp;"}"</f>
        <v>!S.22.06.01.01 Table label {3}</v>
      </c>
      <c r="N7" s="13" t="str">
        <f>Show!$B$101&amp;"S.22.06.01.01 Table value {"&amp;COLUMN($D$1)&amp;"}"</f>
        <v>!S.22.06.01.01 Table value {4}</v>
      </c>
    </row>
    <row r="8" spans="2:15">
      <c r="B8" t="s">
        <v>3111</v>
      </c>
    </row>
    <row r="9" spans="2:15">
      <c r="B9" s="40" t="s">
        <v>3825</v>
      </c>
      <c r="C9" s="53" t="s">
        <v>3113</v>
      </c>
      <c r="D9" s="51"/>
    </row>
    <row r="10" spans="2:15">
      <c r="M10" s="13" t="str">
        <f>Show!$B$101&amp;Show!$B$101&amp;"S.22.06.01.01 Table label {"&amp;COLUMN($C$1)&amp;"}"</f>
        <v>!!S.22.06.01.01 Table label {3}</v>
      </c>
      <c r="N10" s="13" t="str">
        <f>Show!$B$101&amp;Show!$B$101&amp;"S.22.06.01.01 Table value {"&amp;COLUMN($D$1)&amp;"}"</f>
        <v>!!S.22.06.01.01 Table value {4}</v>
      </c>
    </row>
    <row r="12" spans="2:15">
      <c r="D12" s="92" t="s">
        <v>2877</v>
      </c>
      <c r="E12" s="94"/>
    </row>
    <row r="13" spans="2:15">
      <c r="D13" s="95"/>
      <c r="E13" s="97"/>
    </row>
    <row r="14" spans="2:15" ht="105">
      <c r="D14" s="55" t="s">
        <v>4332</v>
      </c>
      <c r="E14" s="55" t="s">
        <v>4333</v>
      </c>
    </row>
    <row r="15" spans="2:15">
      <c r="D15" s="45" t="s">
        <v>3225</v>
      </c>
      <c r="E15" s="45" t="s">
        <v>3223</v>
      </c>
      <c r="M15" s="13" t="str">
        <f>Show!$B$101&amp;"S.22.06.01.01 Rows {"&amp;COLUMN($C$1)&amp;"}"&amp;"@ForceFilingCode:true"</f>
        <v>!S.22.06.01.01 Rows {3}@ForceFilingCode:true</v>
      </c>
      <c r="N15" s="13" t="str">
        <f>Show!$B$101&amp;"S.22.06.01.01 Columns {"&amp;COLUMN($D$1)&amp;"}"</f>
        <v>!S.22.06.01.01 Columns {4}</v>
      </c>
    </row>
    <row r="16" spans="2:15">
      <c r="B16" s="43" t="s">
        <v>2880</v>
      </c>
      <c r="C16" s="44" t="s">
        <v>2878</v>
      </c>
      <c r="D16" s="56"/>
      <c r="E16" s="57"/>
    </row>
    <row r="17" spans="2:14">
      <c r="B17" s="47" t="s">
        <v>4334</v>
      </c>
      <c r="C17" s="41" t="s">
        <v>2885</v>
      </c>
      <c r="D17" s="60"/>
      <c r="E17" s="60"/>
    </row>
    <row r="18" spans="2:14">
      <c r="B18" s="47" t="s">
        <v>4335</v>
      </c>
      <c r="C18" s="41" t="s">
        <v>2887</v>
      </c>
      <c r="D18" s="60"/>
      <c r="E18" s="60"/>
    </row>
    <row r="20" spans="2:14">
      <c r="M20" s="13" t="str">
        <f>Show!$B$101&amp;Show!$B$101&amp;"S.22.06.01.01 Rows {"&amp;COLUMN($C$1)&amp;"}"</f>
        <v>!!S.22.06.01.01 Rows {3}</v>
      </c>
      <c r="N20" s="13" t="str">
        <f>Show!$B$101&amp;Show!$B$101&amp;"S.22.06.01.01 Columns {"&amp;COLUMN($E$1)&amp;"}"</f>
        <v>!!S.22.06.01.01 Columns {5}</v>
      </c>
    </row>
    <row r="22" spans="2:14" ht="18.75">
      <c r="B22" s="88" t="s">
        <v>4336</v>
      </c>
      <c r="C22" s="87"/>
      <c r="D22" s="87"/>
      <c r="E22" s="87"/>
      <c r="F22" s="87"/>
      <c r="G22" s="87"/>
      <c r="H22" s="87"/>
      <c r="I22" s="87"/>
      <c r="J22" s="87"/>
      <c r="K22" s="87"/>
      <c r="L22" s="87"/>
    </row>
    <row r="24" spans="2:14">
      <c r="B24" t="s">
        <v>3110</v>
      </c>
      <c r="M24" s="13" t="str">
        <f>Show!$B$101&amp;"S.22.06.01.02 Table label {"&amp;COLUMN($C$1)&amp;"}"</f>
        <v>!S.22.06.01.02 Table label {3}</v>
      </c>
      <c r="N24" s="13" t="str">
        <f>Show!$B$101&amp;"S.22.06.01.02 Table value {"&amp;COLUMN($D$1)&amp;"}"</f>
        <v>!S.22.06.01.02 Table value {4}</v>
      </c>
    </row>
    <row r="25" spans="2:14">
      <c r="B25" t="s">
        <v>3111</v>
      </c>
    </row>
    <row r="26" spans="2:14">
      <c r="B26" s="40" t="s">
        <v>3825</v>
      </c>
      <c r="C26" s="53" t="s">
        <v>3113</v>
      </c>
      <c r="D26" s="51"/>
    </row>
    <row r="27" spans="2:14">
      <c r="M27" s="13" t="str">
        <f>Show!$B$101&amp;Show!$B$101&amp;"S.22.06.01.02 Table label {"&amp;COLUMN($C$1)&amp;"}"</f>
        <v>!!S.22.06.01.02 Table label {3}</v>
      </c>
      <c r="N27" s="13" t="str">
        <f>Show!$B$101&amp;Show!$B$101&amp;"S.22.06.01.02 Table value {"&amp;COLUMN($D$1)&amp;"}"</f>
        <v>!!S.22.06.01.02 Table value {4}</v>
      </c>
    </row>
    <row r="29" spans="2:14">
      <c r="D29" s="89" t="s">
        <v>2877</v>
      </c>
    </row>
    <row r="30" spans="2:14">
      <c r="D30" s="91"/>
    </row>
    <row r="31" spans="2:14" ht="30">
      <c r="D31" s="55" t="s">
        <v>4337</v>
      </c>
    </row>
    <row r="32" spans="2:14">
      <c r="D32" s="42" t="s">
        <v>3229</v>
      </c>
      <c r="M32" s="13" t="str">
        <f>Show!$B$101&amp;"S.22.06.01.02 Rows {"&amp;COLUMN($C$1)&amp;"}"&amp;"@ForceFilingCode:true"</f>
        <v>!S.22.06.01.02 Rows {3}@ForceFilingCode:true</v>
      </c>
      <c r="N32" s="13" t="str">
        <f>Show!$B$101&amp;"S.22.06.01.02 Columns {"&amp;COLUMN($D$1)&amp;"}"</f>
        <v>!S.22.06.01.02 Columns {4}</v>
      </c>
    </row>
    <row r="33" spans="2:14">
      <c r="B33" s="43" t="s">
        <v>4338</v>
      </c>
      <c r="C33" s="41" t="s">
        <v>2883</v>
      </c>
      <c r="D33" s="68"/>
    </row>
    <row r="34" spans="2:14">
      <c r="B34" s="43" t="s">
        <v>2880</v>
      </c>
      <c r="C34" s="44" t="s">
        <v>2878</v>
      </c>
      <c r="D34" s="46"/>
    </row>
    <row r="35" spans="2:14">
      <c r="B35" s="47" t="s">
        <v>4334</v>
      </c>
      <c r="C35" s="41" t="s">
        <v>2885</v>
      </c>
      <c r="D35" s="60"/>
    </row>
    <row r="36" spans="2:14">
      <c r="B36" s="47" t="s">
        <v>4335</v>
      </c>
      <c r="C36" s="41" t="s">
        <v>2887</v>
      </c>
      <c r="D36" s="60"/>
    </row>
    <row r="38" spans="2:14">
      <c r="M38" s="13" t="str">
        <f>Show!$B$101&amp;Show!$B$101&amp;"S.22.06.01.02 Rows {"&amp;COLUMN($C$1)&amp;"}"</f>
        <v>!!S.22.06.01.02 Rows {3}</v>
      </c>
      <c r="N38" s="13" t="str">
        <f>Show!$B$101&amp;Show!$B$101&amp;"S.22.06.01.02 Columns {"&amp;COLUMN($D$1)&amp;"}"</f>
        <v>!!S.22.06.01.02 Columns {4}</v>
      </c>
    </row>
    <row r="40" spans="2:14" ht="18.75">
      <c r="B40" s="88" t="s">
        <v>4339</v>
      </c>
      <c r="C40" s="87"/>
      <c r="D40" s="87"/>
      <c r="E40" s="87"/>
      <c r="F40" s="87"/>
      <c r="G40" s="87"/>
      <c r="H40" s="87"/>
      <c r="I40" s="87"/>
      <c r="J40" s="87"/>
      <c r="K40" s="87"/>
      <c r="L40" s="87"/>
    </row>
    <row r="42" spans="2:14">
      <c r="B42" t="s">
        <v>3110</v>
      </c>
      <c r="M42" s="13" t="str">
        <f>Show!$B$101&amp;"S.22.06.01.03 Table label {"&amp;COLUMN($C$1)&amp;"}"</f>
        <v>!S.22.06.01.03 Table label {3}</v>
      </c>
      <c r="N42" s="13" t="str">
        <f>Show!$B$101&amp;"S.22.06.01.03 Table value {"&amp;COLUMN($D$1)&amp;"}"</f>
        <v>!S.22.06.01.03 Table value {4}</v>
      </c>
    </row>
    <row r="43" spans="2:14">
      <c r="B43" t="s">
        <v>3111</v>
      </c>
    </row>
    <row r="44" spans="2:14">
      <c r="B44" s="40" t="s">
        <v>3825</v>
      </c>
      <c r="C44" s="53" t="s">
        <v>3113</v>
      </c>
      <c r="D44" s="51"/>
    </row>
    <row r="45" spans="2:14">
      <c r="M45" s="13" t="str">
        <f>Show!$B$101&amp;Show!$B$101&amp;"S.22.06.01.03 Table label {"&amp;COLUMN($C$1)&amp;"}"</f>
        <v>!!S.22.06.01.03 Table label {3}</v>
      </c>
      <c r="N45" s="13" t="str">
        <f>Show!$B$101&amp;Show!$B$101&amp;"S.22.06.01.03 Table value {"&amp;COLUMN($D$1)&amp;"}"</f>
        <v>!!S.22.06.01.03 Table value {4}</v>
      </c>
    </row>
    <row r="47" spans="2:14">
      <c r="D47" s="89" t="s">
        <v>4340</v>
      </c>
      <c r="E47" s="92" t="s">
        <v>2877</v>
      </c>
      <c r="F47" s="94"/>
    </row>
    <row r="48" spans="2:14">
      <c r="D48" s="90"/>
      <c r="E48" s="95"/>
      <c r="F48" s="97"/>
    </row>
    <row r="49" spans="2:14" ht="105">
      <c r="D49" s="91"/>
      <c r="E49" s="55" t="s">
        <v>4332</v>
      </c>
      <c r="F49" s="55" t="s">
        <v>4333</v>
      </c>
    </row>
    <row r="50" spans="2:14">
      <c r="D50" s="45" t="s">
        <v>3219</v>
      </c>
      <c r="E50" s="45" t="s">
        <v>3225</v>
      </c>
      <c r="F50" s="45" t="s">
        <v>3223</v>
      </c>
      <c r="M50" s="13" t="str">
        <f>Show!$B$101&amp;"S.22.06.01.03 Rows {"&amp;COLUMN($C$1)&amp;"}"&amp;"@ForceFilingCode:true"</f>
        <v>!S.22.06.01.03 Rows {3}@ForceFilingCode:true</v>
      </c>
      <c r="N50" s="13" t="str">
        <f>Show!$B$101&amp;"S.22.06.01.03 Columns {"&amp;COLUMN($D$1)&amp;"}"</f>
        <v>!S.22.06.01.03 Columns {4}</v>
      </c>
    </row>
    <row r="51" spans="2:14">
      <c r="B51" s="43" t="s">
        <v>2880</v>
      </c>
      <c r="C51" s="44" t="s">
        <v>2878</v>
      </c>
      <c r="D51" s="56"/>
      <c r="E51" s="66"/>
      <c r="F51" s="57"/>
    </row>
    <row r="52" spans="2:14" ht="30">
      <c r="B52" s="47" t="s">
        <v>4341</v>
      </c>
      <c r="C52" s="41" t="s">
        <v>2889</v>
      </c>
      <c r="D52" s="51"/>
      <c r="E52" s="60"/>
      <c r="F52" s="60"/>
    </row>
    <row r="54" spans="2:14">
      <c r="M54" s="13" t="str">
        <f>Show!$B$101&amp;Show!$B$101&amp;"S.22.06.01.03 Rows {"&amp;COLUMN($C$1)&amp;"}"</f>
        <v>!!S.22.06.01.03 Rows {3}</v>
      </c>
      <c r="N54" s="13" t="str">
        <f>Show!$B$101&amp;Show!$B$101&amp;"S.22.06.01.03 Columns {"&amp;COLUMN($F$1)&amp;"}"</f>
        <v>!!S.22.06.01.03 Columns {6}</v>
      </c>
    </row>
    <row r="56" spans="2:14" ht="18.75">
      <c r="B56" s="88" t="s">
        <v>4342</v>
      </c>
      <c r="C56" s="87"/>
      <c r="D56" s="87"/>
      <c r="E56" s="87"/>
      <c r="F56" s="87"/>
      <c r="G56" s="87"/>
      <c r="H56" s="87"/>
      <c r="I56" s="87"/>
      <c r="J56" s="87"/>
      <c r="K56" s="87"/>
      <c r="L56" s="87"/>
    </row>
    <row r="58" spans="2:14">
      <c r="B58" t="s">
        <v>3110</v>
      </c>
      <c r="M58" s="13" t="str">
        <f>Show!$B$101&amp;"S.22.06.01.04 Table label {"&amp;COLUMN($C$1)&amp;"}"</f>
        <v>!S.22.06.01.04 Table label {3}</v>
      </c>
      <c r="N58" s="13" t="str">
        <f>Show!$B$101&amp;"S.22.06.01.04 Table value {"&amp;COLUMN($D$1)&amp;"}"</f>
        <v>!S.22.06.01.04 Table value {4}</v>
      </c>
    </row>
    <row r="59" spans="2:14">
      <c r="B59" t="s">
        <v>3111</v>
      </c>
    </row>
    <row r="60" spans="2:14">
      <c r="B60" s="40" t="s">
        <v>3825</v>
      </c>
      <c r="C60" s="53" t="s">
        <v>3113</v>
      </c>
      <c r="D60" s="51"/>
    </row>
    <row r="61" spans="2:14">
      <c r="M61" s="13" t="str">
        <f>Show!$B$101&amp;Show!$B$101&amp;"S.22.06.01.04 Table label {"&amp;COLUMN($C$1)&amp;"}"</f>
        <v>!!S.22.06.01.04 Table label {3}</v>
      </c>
      <c r="N61" s="13" t="str">
        <f>Show!$B$101&amp;Show!$B$101&amp;"S.22.06.01.04 Table value {"&amp;COLUMN($D$1)&amp;"}"</f>
        <v>!!S.22.06.01.04 Table value {4}</v>
      </c>
    </row>
    <row r="63" spans="2:14">
      <c r="D63" s="89" t="s">
        <v>4340</v>
      </c>
      <c r="E63" s="89" t="s">
        <v>2877</v>
      </c>
    </row>
    <row r="64" spans="2:14">
      <c r="D64" s="90"/>
      <c r="E64" s="91"/>
    </row>
    <row r="65" spans="2:14" ht="90">
      <c r="D65" s="91"/>
      <c r="E65" s="55" t="s">
        <v>4337</v>
      </c>
    </row>
    <row r="66" spans="2:14">
      <c r="D66" s="42" t="s">
        <v>3219</v>
      </c>
      <c r="E66" s="42" t="s">
        <v>3229</v>
      </c>
      <c r="M66" s="13" t="str">
        <f>Show!$B$101&amp;"S.22.06.01.04 Rows {"&amp;COLUMN($C$1)&amp;"}"&amp;"@ForceFilingCode:true"</f>
        <v>!S.22.06.01.04 Rows {3}@ForceFilingCode:true</v>
      </c>
      <c r="N66" s="13" t="str">
        <f>Show!$B$101&amp;"S.22.06.01.04 Columns {"&amp;COLUMN($D$1)&amp;"}"</f>
        <v>!S.22.06.01.04 Columns {4}</v>
      </c>
    </row>
    <row r="67" spans="2:14">
      <c r="B67" s="43" t="s">
        <v>4338</v>
      </c>
      <c r="C67" s="41" t="s">
        <v>2883</v>
      </c>
      <c r="D67" s="68"/>
      <c r="E67" s="68"/>
    </row>
    <row r="68" spans="2:14">
      <c r="B68" s="43" t="s">
        <v>2880</v>
      </c>
      <c r="C68" s="44" t="s">
        <v>2878</v>
      </c>
      <c r="D68" s="56"/>
      <c r="E68" s="57"/>
    </row>
    <row r="69" spans="2:14" ht="30">
      <c r="B69" s="47" t="s">
        <v>4341</v>
      </c>
      <c r="C69" s="41" t="s">
        <v>2889</v>
      </c>
      <c r="D69" s="51"/>
      <c r="E69" s="60"/>
    </row>
    <row r="71" spans="2:14">
      <c r="M71" s="13" t="str">
        <f>Show!$B$101&amp;Show!$B$101&amp;"S.22.06.01.04 Rows {"&amp;COLUMN($C$1)&amp;"}"</f>
        <v>!!S.22.06.01.04 Rows {3}</v>
      </c>
      <c r="N71" s="13" t="str">
        <f>Show!$B$101&amp;Show!$B$101&amp;"S.22.06.01.04 Columns {"&amp;COLUMN($E$1)&amp;"}"</f>
        <v>!!S.22.06.01.04 Columns {5}</v>
      </c>
    </row>
  </sheetData>
  <sheetProtection sheet="1" objects="1" scenarios="1"/>
  <mergeCells count="11">
    <mergeCell ref="B40:L40"/>
    <mergeCell ref="B2:O2"/>
    <mergeCell ref="B5:L5"/>
    <mergeCell ref="D12:E13"/>
    <mergeCell ref="B22:L22"/>
    <mergeCell ref="D29:D30"/>
    <mergeCell ref="D47:D49"/>
    <mergeCell ref="E47:F48"/>
    <mergeCell ref="B56:L56"/>
    <mergeCell ref="D63:D65"/>
    <mergeCell ref="E63:E64"/>
  </mergeCells>
  <dataValidations count="3">
    <dataValidation type="list" errorStyle="warning" allowBlank="1" showInputMessage="1" showErrorMessage="1" sqref="D9 D26 D44 D60" xr:uid="{26A884CA-D7E4-464B-A93D-FAF406458AD2}">
      <formula1>hier_LB_47</formula1>
    </dataValidation>
    <dataValidation type="list" errorStyle="warning" allowBlank="1" showInputMessage="1" showErrorMessage="1" sqref="D33 E67" xr:uid="{E817FEF3-EE81-4C83-A1CB-BAAA46ABA351}">
      <formula1>hier_CU_5</formula1>
    </dataValidation>
    <dataValidation type="list" errorStyle="warning" allowBlank="1" showInputMessage="1" showErrorMessage="1" sqref="D52 D67 D69" xr:uid="{852237D2-BE05-4313-8854-E1788668F213}">
      <formula1>hier_GA_18</formula1>
    </dataValidation>
  </dataValidations>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1E136-FE44-4E8F-B2D2-7BFB05B52ADA}">
  <sheetPr codeName="Blad106"/>
  <dimension ref="B2:O77"/>
  <sheetViews>
    <sheetView showGridLines="0" workbookViewId="0">
      <selection activeCell="D70" sqref="D70"/>
    </sheetView>
  </sheetViews>
  <sheetFormatPr defaultRowHeight="15"/>
  <cols>
    <col min="2" max="2" width="85.85546875" bestFit="1" customWidth="1"/>
    <col min="4" max="8" width="15.7109375" customWidth="1"/>
  </cols>
  <sheetData>
    <row r="2" spans="2:15" ht="23.25">
      <c r="B2" s="86" t="s">
        <v>668</v>
      </c>
      <c r="C2" s="87"/>
      <c r="D2" s="87"/>
      <c r="E2" s="87"/>
      <c r="F2" s="87"/>
      <c r="G2" s="87"/>
      <c r="H2" s="87"/>
      <c r="I2" s="87"/>
      <c r="J2" s="87"/>
      <c r="K2" s="87"/>
      <c r="L2" s="87"/>
      <c r="M2" s="87"/>
      <c r="N2" s="87"/>
      <c r="O2" s="87"/>
    </row>
    <row r="5" spans="2:15" ht="18.75">
      <c r="B5" s="88" t="s">
        <v>4343</v>
      </c>
      <c r="C5" s="87"/>
      <c r="D5" s="87"/>
      <c r="E5" s="87"/>
      <c r="F5" s="87"/>
      <c r="G5" s="87"/>
      <c r="H5" s="87"/>
      <c r="I5" s="87"/>
      <c r="J5" s="87"/>
      <c r="K5" s="87"/>
      <c r="L5" s="87"/>
    </row>
    <row r="9" spans="2:15">
      <c r="D9" s="92" t="s">
        <v>2877</v>
      </c>
      <c r="E9" s="93"/>
      <c r="F9" s="93"/>
      <c r="G9" s="93"/>
      <c r="H9" s="94"/>
    </row>
    <row r="10" spans="2:15">
      <c r="D10" s="95"/>
      <c r="E10" s="96"/>
      <c r="F10" s="96"/>
      <c r="G10" s="96"/>
      <c r="H10" s="97"/>
    </row>
    <row r="11" spans="2:15">
      <c r="D11" s="89" t="s">
        <v>3480</v>
      </c>
      <c r="E11" s="89" t="s">
        <v>2546</v>
      </c>
      <c r="F11" s="89" t="s">
        <v>2547</v>
      </c>
      <c r="G11" s="89" t="s">
        <v>2548</v>
      </c>
      <c r="H11" s="89" t="s">
        <v>2549</v>
      </c>
    </row>
    <row r="12" spans="2:15">
      <c r="D12" s="91"/>
      <c r="E12" s="91"/>
      <c r="F12" s="91"/>
      <c r="G12" s="91"/>
      <c r="H12" s="91"/>
    </row>
    <row r="13" spans="2:15">
      <c r="D13" s="45" t="s">
        <v>2879</v>
      </c>
      <c r="E13" s="45" t="s">
        <v>3219</v>
      </c>
      <c r="F13" s="45" t="s">
        <v>3225</v>
      </c>
      <c r="G13" s="45" t="s">
        <v>3223</v>
      </c>
      <c r="H13" s="45" t="s">
        <v>3229</v>
      </c>
      <c r="M13" s="13"/>
      <c r="N13" s="13"/>
    </row>
    <row r="14" spans="2:15">
      <c r="B14" s="43" t="s">
        <v>2880</v>
      </c>
      <c r="C14" s="44" t="s">
        <v>2878</v>
      </c>
      <c r="D14" s="58"/>
      <c r="E14" s="67"/>
      <c r="F14" s="67"/>
      <c r="G14" s="67"/>
      <c r="H14" s="59"/>
    </row>
    <row r="15" spans="2:15" ht="30">
      <c r="B15" s="47" t="s">
        <v>4344</v>
      </c>
      <c r="C15" s="44" t="s">
        <v>2878</v>
      </c>
      <c r="D15" s="56"/>
      <c r="E15" s="66"/>
      <c r="F15" s="67"/>
      <c r="G15" s="66"/>
      <c r="H15" s="59"/>
    </row>
    <row r="16" spans="2:15">
      <c r="B16" s="49" t="s">
        <v>4345</v>
      </c>
      <c r="C16" s="41" t="s">
        <v>2883</v>
      </c>
      <c r="D16" s="60">
        <v>1502364272.5999999</v>
      </c>
      <c r="E16" s="60">
        <v>1502364272.5999999</v>
      </c>
      <c r="F16" s="48"/>
      <c r="G16" s="60">
        <v>0</v>
      </c>
      <c r="H16" s="48"/>
    </row>
    <row r="17" spans="2:8">
      <c r="B17" s="49" t="s">
        <v>4346</v>
      </c>
      <c r="C17" s="41" t="s">
        <v>2887</v>
      </c>
      <c r="D17" s="60">
        <v>2050976359.3499999</v>
      </c>
      <c r="E17" s="60">
        <v>2050976359.3499999</v>
      </c>
      <c r="F17" s="48"/>
      <c r="G17" s="60">
        <v>0</v>
      </c>
      <c r="H17" s="48"/>
    </row>
    <row r="18" spans="2:8" ht="30">
      <c r="B18" s="49" t="s">
        <v>4347</v>
      </c>
      <c r="C18" s="41" t="s">
        <v>2889</v>
      </c>
      <c r="D18" s="60">
        <v>0</v>
      </c>
      <c r="E18" s="60">
        <v>0</v>
      </c>
      <c r="F18" s="46"/>
      <c r="G18" s="60">
        <v>0</v>
      </c>
      <c r="H18" s="46"/>
    </row>
    <row r="19" spans="2:8">
      <c r="B19" s="49" t="s">
        <v>4348</v>
      </c>
      <c r="C19" s="41" t="s">
        <v>3078</v>
      </c>
      <c r="D19" s="60">
        <v>0</v>
      </c>
      <c r="E19" s="46"/>
      <c r="F19" s="60">
        <v>0</v>
      </c>
      <c r="G19" s="60">
        <v>0</v>
      </c>
      <c r="H19" s="60">
        <v>0</v>
      </c>
    </row>
    <row r="20" spans="2:8">
      <c r="B20" s="49" t="s">
        <v>4349</v>
      </c>
      <c r="C20" s="41" t="s">
        <v>2893</v>
      </c>
      <c r="D20" s="60">
        <v>0</v>
      </c>
      <c r="E20" s="60">
        <v>0</v>
      </c>
      <c r="F20" s="56"/>
      <c r="G20" s="56"/>
      <c r="H20" s="46"/>
    </row>
    <row r="21" spans="2:8">
      <c r="B21" s="49" t="s">
        <v>4350</v>
      </c>
      <c r="C21" s="41" t="s">
        <v>2897</v>
      </c>
      <c r="D21" s="60">
        <v>0</v>
      </c>
      <c r="E21" s="48"/>
      <c r="F21" s="60">
        <v>0</v>
      </c>
      <c r="G21" s="60">
        <v>0</v>
      </c>
      <c r="H21" s="60">
        <v>0</v>
      </c>
    </row>
    <row r="22" spans="2:8">
      <c r="B22" s="49" t="s">
        <v>4351</v>
      </c>
      <c r="C22" s="41" t="s">
        <v>2901</v>
      </c>
      <c r="D22" s="60">
        <v>0</v>
      </c>
      <c r="E22" s="46"/>
      <c r="F22" s="60">
        <v>0</v>
      </c>
      <c r="G22" s="60">
        <v>0</v>
      </c>
      <c r="H22" s="60">
        <v>0</v>
      </c>
    </row>
    <row r="23" spans="2:8">
      <c r="B23" s="49" t="s">
        <v>4352</v>
      </c>
      <c r="C23" s="41" t="s">
        <v>2905</v>
      </c>
      <c r="D23" s="60">
        <v>1009175101.4778066</v>
      </c>
      <c r="E23" s="60">
        <v>1009175101.4778066</v>
      </c>
      <c r="F23" s="56"/>
      <c r="G23" s="56"/>
      <c r="H23" s="46"/>
    </row>
    <row r="24" spans="2:8">
      <c r="B24" s="49" t="s">
        <v>3309</v>
      </c>
      <c r="C24" s="41" t="s">
        <v>2907</v>
      </c>
      <c r="D24" s="60">
        <v>1418246913.9712992</v>
      </c>
      <c r="E24" s="48"/>
      <c r="F24" s="60">
        <v>613512533.64791739</v>
      </c>
      <c r="G24" s="60">
        <v>804734380.32338178</v>
      </c>
      <c r="H24" s="60">
        <v>0</v>
      </c>
    </row>
    <row r="25" spans="2:8">
      <c r="B25" s="49" t="s">
        <v>4353</v>
      </c>
      <c r="C25" s="41" t="s">
        <v>2911</v>
      </c>
      <c r="D25" s="60">
        <v>0</v>
      </c>
      <c r="E25" s="56"/>
      <c r="F25" s="56"/>
      <c r="G25" s="46"/>
      <c r="H25" s="60">
        <v>0</v>
      </c>
    </row>
    <row r="26" spans="2:8" ht="30">
      <c r="B26" s="49" t="s">
        <v>4354</v>
      </c>
      <c r="C26" s="41" t="s">
        <v>2915</v>
      </c>
      <c r="D26" s="60">
        <v>0</v>
      </c>
      <c r="E26" s="60">
        <v>0</v>
      </c>
      <c r="F26" s="60">
        <v>0</v>
      </c>
      <c r="G26" s="60">
        <v>0</v>
      </c>
      <c r="H26" s="60">
        <v>0</v>
      </c>
    </row>
    <row r="27" spans="2:8" ht="45">
      <c r="B27" s="47" t="s">
        <v>4355</v>
      </c>
      <c r="C27" s="44" t="s">
        <v>2878</v>
      </c>
      <c r="D27" s="56"/>
      <c r="E27" s="67"/>
      <c r="F27" s="67"/>
      <c r="G27" s="67"/>
      <c r="H27" s="59"/>
    </row>
    <row r="28" spans="2:8" ht="45">
      <c r="B28" s="49" t="s">
        <v>4355</v>
      </c>
      <c r="C28" s="41" t="s">
        <v>2923</v>
      </c>
      <c r="D28" s="60">
        <v>0</v>
      </c>
      <c r="E28" s="58"/>
      <c r="F28" s="58"/>
      <c r="G28" s="58"/>
      <c r="H28" s="48"/>
    </row>
    <row r="29" spans="2:8">
      <c r="B29" s="47" t="s">
        <v>4356</v>
      </c>
      <c r="C29" s="44" t="s">
        <v>2878</v>
      </c>
      <c r="D29" s="56"/>
      <c r="E29" s="66"/>
      <c r="F29" s="66"/>
      <c r="G29" s="66"/>
      <c r="H29" s="57"/>
    </row>
    <row r="30" spans="2:8">
      <c r="B30" s="49" t="s">
        <v>4357</v>
      </c>
      <c r="C30" s="41" t="s">
        <v>2925</v>
      </c>
      <c r="D30" s="60">
        <v>0</v>
      </c>
      <c r="E30" s="60">
        <v>0</v>
      </c>
      <c r="F30" s="60">
        <v>0</v>
      </c>
      <c r="G30" s="60">
        <v>0</v>
      </c>
      <c r="H30" s="60">
        <v>0</v>
      </c>
    </row>
    <row r="31" spans="2:8">
      <c r="B31" s="47" t="s">
        <v>4358</v>
      </c>
      <c r="C31" s="41" t="s">
        <v>2937</v>
      </c>
      <c r="D31" s="60">
        <v>5980762647.399106</v>
      </c>
      <c r="E31" s="60">
        <v>4562515733.4278069</v>
      </c>
      <c r="F31" s="60">
        <v>613512533.64791739</v>
      </c>
      <c r="G31" s="60">
        <v>804734380.32338178</v>
      </c>
      <c r="H31" s="60">
        <v>0</v>
      </c>
    </row>
    <row r="32" spans="2:8">
      <c r="B32" s="47" t="s">
        <v>1232</v>
      </c>
      <c r="C32" s="44" t="s">
        <v>2878</v>
      </c>
      <c r="D32" s="56"/>
      <c r="E32" s="67"/>
      <c r="F32" s="67"/>
      <c r="G32" s="66"/>
      <c r="H32" s="59"/>
    </row>
    <row r="33" spans="2:8">
      <c r="B33" s="49" t="s">
        <v>4359</v>
      </c>
      <c r="C33" s="41" t="s">
        <v>2939</v>
      </c>
      <c r="D33" s="60">
        <v>0</v>
      </c>
      <c r="E33" s="58"/>
      <c r="F33" s="48"/>
      <c r="G33" s="60">
        <v>0</v>
      </c>
      <c r="H33" s="48"/>
    </row>
    <row r="34" spans="2:8" ht="30">
      <c r="B34" s="49" t="s">
        <v>4360</v>
      </c>
      <c r="C34" s="41" t="s">
        <v>2941</v>
      </c>
      <c r="D34" s="60">
        <v>0</v>
      </c>
      <c r="E34" s="58"/>
      <c r="F34" s="48"/>
      <c r="G34" s="60">
        <v>0</v>
      </c>
      <c r="H34" s="46"/>
    </row>
    <row r="35" spans="2:8">
      <c r="B35" s="49" t="s">
        <v>4361</v>
      </c>
      <c r="C35" s="41" t="s">
        <v>2943</v>
      </c>
      <c r="D35" s="60">
        <v>0</v>
      </c>
      <c r="E35" s="58"/>
      <c r="F35" s="48"/>
      <c r="G35" s="60">
        <v>0</v>
      </c>
      <c r="H35" s="60">
        <v>0</v>
      </c>
    </row>
    <row r="36" spans="2:8" ht="30">
      <c r="B36" s="49" t="s">
        <v>4362</v>
      </c>
      <c r="C36" s="41" t="s">
        <v>2945</v>
      </c>
      <c r="D36" s="60">
        <v>0</v>
      </c>
      <c r="E36" s="58"/>
      <c r="F36" s="48"/>
      <c r="G36" s="60">
        <v>0</v>
      </c>
      <c r="H36" s="60">
        <v>0</v>
      </c>
    </row>
    <row r="37" spans="2:8">
      <c r="B37" s="49" t="s">
        <v>4363</v>
      </c>
      <c r="C37" s="41" t="s">
        <v>2947</v>
      </c>
      <c r="D37" s="60">
        <v>0</v>
      </c>
      <c r="E37" s="58"/>
      <c r="F37" s="48"/>
      <c r="G37" s="60">
        <v>0</v>
      </c>
      <c r="H37" s="46"/>
    </row>
    <row r="38" spans="2:8" ht="30">
      <c r="B38" s="49" t="s">
        <v>4364</v>
      </c>
      <c r="C38" s="41" t="s">
        <v>2949</v>
      </c>
      <c r="D38" s="60">
        <v>0</v>
      </c>
      <c r="E38" s="58"/>
      <c r="F38" s="48"/>
      <c r="G38" s="60">
        <v>0</v>
      </c>
      <c r="H38" s="60">
        <v>0</v>
      </c>
    </row>
    <row r="39" spans="2:8" ht="30">
      <c r="B39" s="49" t="s">
        <v>4365</v>
      </c>
      <c r="C39" s="41" t="s">
        <v>2951</v>
      </c>
      <c r="D39" s="60">
        <v>0</v>
      </c>
      <c r="E39" s="58"/>
      <c r="F39" s="48"/>
      <c r="G39" s="60">
        <v>0</v>
      </c>
      <c r="H39" s="46"/>
    </row>
    <row r="40" spans="2:8" ht="30">
      <c r="B40" s="49" t="s">
        <v>4366</v>
      </c>
      <c r="C40" s="41" t="s">
        <v>2953</v>
      </c>
      <c r="D40" s="60">
        <v>0</v>
      </c>
      <c r="E40" s="58"/>
      <c r="F40" s="48"/>
      <c r="G40" s="60">
        <v>0</v>
      </c>
      <c r="H40" s="60">
        <v>0</v>
      </c>
    </row>
    <row r="41" spans="2:8">
      <c r="B41" s="49" t="s">
        <v>4367</v>
      </c>
      <c r="C41" s="41" t="s">
        <v>2957</v>
      </c>
      <c r="D41" s="60">
        <v>0</v>
      </c>
      <c r="E41" s="58"/>
      <c r="F41" s="48"/>
      <c r="G41" s="60">
        <v>0</v>
      </c>
      <c r="H41" s="60">
        <v>0</v>
      </c>
    </row>
    <row r="42" spans="2:8">
      <c r="B42" s="47" t="s">
        <v>4368</v>
      </c>
      <c r="C42" s="41" t="s">
        <v>2959</v>
      </c>
      <c r="D42" s="60">
        <v>0</v>
      </c>
      <c r="E42" s="58"/>
      <c r="F42" s="48"/>
      <c r="G42" s="60">
        <v>0</v>
      </c>
      <c r="H42" s="60">
        <v>0</v>
      </c>
    </row>
    <row r="43" spans="2:8">
      <c r="B43" s="47" t="s">
        <v>4369</v>
      </c>
      <c r="C43" s="44" t="s">
        <v>2878</v>
      </c>
      <c r="D43" s="56"/>
      <c r="E43" s="66"/>
      <c r="F43" s="66"/>
      <c r="G43" s="66"/>
      <c r="H43" s="57"/>
    </row>
    <row r="44" spans="2:8">
      <c r="B44" s="49" t="s">
        <v>4370</v>
      </c>
      <c r="C44" s="41" t="s">
        <v>2977</v>
      </c>
      <c r="D44" s="60">
        <v>5980762647.399106</v>
      </c>
      <c r="E44" s="60">
        <v>4562515733.4278069</v>
      </c>
      <c r="F44" s="60">
        <v>613512533.64791739</v>
      </c>
      <c r="G44" s="60">
        <v>804734380.32338178</v>
      </c>
      <c r="H44" s="60">
        <v>0</v>
      </c>
    </row>
    <row r="45" spans="2:8">
      <c r="B45" s="49" t="s">
        <v>4371</v>
      </c>
      <c r="C45" s="41" t="s">
        <v>2979</v>
      </c>
      <c r="D45" s="60">
        <v>5980762647.399106</v>
      </c>
      <c r="E45" s="60">
        <v>4562515733.4278069</v>
      </c>
      <c r="F45" s="60">
        <v>613512533.64791739</v>
      </c>
      <c r="G45" s="60">
        <v>804734380.32338178</v>
      </c>
      <c r="H45" s="46"/>
    </row>
    <row r="46" spans="2:8">
      <c r="B46" s="49" t="s">
        <v>4372</v>
      </c>
      <c r="C46" s="41" t="s">
        <v>2985</v>
      </c>
      <c r="D46" s="60">
        <v>5954647305.3833675</v>
      </c>
      <c r="E46" s="60">
        <v>4562515733.4278069</v>
      </c>
      <c r="F46" s="60">
        <v>613512533.64791739</v>
      </c>
      <c r="G46" s="60">
        <v>778619038.30764246</v>
      </c>
      <c r="H46" s="60">
        <v>0</v>
      </c>
    </row>
    <row r="47" spans="2:8">
      <c r="B47" s="49" t="s">
        <v>4373</v>
      </c>
      <c r="C47" s="41" t="s">
        <v>2987</v>
      </c>
      <c r="D47" s="60">
        <v>5253890170.9064884</v>
      </c>
      <c r="E47" s="60">
        <v>4562515733.4278069</v>
      </c>
      <c r="F47" s="60">
        <v>613512533.64791739</v>
      </c>
      <c r="G47" s="60">
        <v>77861903.830764249</v>
      </c>
      <c r="H47" s="48"/>
    </row>
    <row r="48" spans="2:8">
      <c r="B48" s="47" t="s">
        <v>292</v>
      </c>
      <c r="C48" s="41" t="s">
        <v>2993</v>
      </c>
      <c r="D48" s="60">
        <v>1557238076.6152849</v>
      </c>
      <c r="E48" s="58"/>
      <c r="F48" s="58"/>
      <c r="G48" s="58"/>
      <c r="H48" s="48"/>
    </row>
    <row r="49" spans="2:14">
      <c r="B49" s="47" t="s">
        <v>4374</v>
      </c>
      <c r="C49" s="41" t="s">
        <v>2997</v>
      </c>
      <c r="D49" s="60">
        <v>389309519.15382123</v>
      </c>
      <c r="E49" s="58"/>
      <c r="F49" s="58"/>
      <c r="G49" s="58"/>
      <c r="H49" s="48"/>
    </row>
    <row r="50" spans="2:14">
      <c r="B50" s="47" t="s">
        <v>4375</v>
      </c>
      <c r="C50" s="41" t="s">
        <v>3001</v>
      </c>
      <c r="D50" s="81">
        <v>3.8238515964919224</v>
      </c>
      <c r="E50" s="58"/>
      <c r="F50" s="58"/>
      <c r="G50" s="58"/>
      <c r="H50" s="48"/>
    </row>
    <row r="51" spans="2:14">
      <c r="B51" s="47" t="s">
        <v>4376</v>
      </c>
      <c r="C51" s="41" t="s">
        <v>3005</v>
      </c>
      <c r="D51" s="81">
        <v>13.495406385967687</v>
      </c>
      <c r="E51" s="56"/>
      <c r="F51" s="56"/>
      <c r="G51" s="56"/>
      <c r="H51" s="46"/>
    </row>
    <row r="53" spans="2:14">
      <c r="M53" s="13"/>
      <c r="N53" s="13"/>
    </row>
    <row r="55" spans="2:14" ht="18.75">
      <c r="B55" s="88" t="s">
        <v>4377</v>
      </c>
      <c r="C55" s="87"/>
      <c r="D55" s="87"/>
      <c r="E55" s="87"/>
      <c r="F55" s="87"/>
      <c r="G55" s="87"/>
      <c r="H55" s="87"/>
      <c r="I55" s="87"/>
      <c r="J55" s="87"/>
      <c r="K55" s="87"/>
      <c r="L55" s="87"/>
    </row>
    <row r="59" spans="2:14">
      <c r="D59" s="89" t="s">
        <v>2877</v>
      </c>
    </row>
    <row r="60" spans="2:14">
      <c r="D60" s="90"/>
    </row>
    <row r="61" spans="2:14">
      <c r="D61" s="90"/>
    </row>
    <row r="62" spans="2:14">
      <c r="D62" s="91"/>
    </row>
    <row r="63" spans="2:14">
      <c r="D63" s="45" t="s">
        <v>3231</v>
      </c>
      <c r="M63" s="13"/>
      <c r="N63" s="13"/>
    </row>
    <row r="64" spans="2:14">
      <c r="B64" s="43" t="s">
        <v>2880</v>
      </c>
      <c r="C64" s="44" t="s">
        <v>2878</v>
      </c>
      <c r="D64" s="48"/>
    </row>
    <row r="65" spans="2:14">
      <c r="B65" s="47" t="s">
        <v>4352</v>
      </c>
      <c r="C65" s="44" t="s">
        <v>2878</v>
      </c>
      <c r="D65" s="46"/>
    </row>
    <row r="66" spans="2:14">
      <c r="B66" s="49" t="s">
        <v>3314</v>
      </c>
      <c r="C66" s="41" t="s">
        <v>3064</v>
      </c>
      <c r="D66" s="60">
        <v>5032925787.6078062</v>
      </c>
    </row>
    <row r="67" spans="2:14">
      <c r="B67" s="49" t="s">
        <v>4378</v>
      </c>
      <c r="C67" s="41" t="s">
        <v>3066</v>
      </c>
      <c r="D67" s="60">
        <v>200528882.68000001</v>
      </c>
    </row>
    <row r="68" spans="2:14">
      <c r="B68" s="49" t="s">
        <v>4379</v>
      </c>
      <c r="C68" s="41" t="s">
        <v>3068</v>
      </c>
      <c r="D68" s="60">
        <v>269881171.5</v>
      </c>
    </row>
    <row r="69" spans="2:14">
      <c r="B69" s="49" t="s">
        <v>4380</v>
      </c>
      <c r="C69" s="41" t="s">
        <v>3070</v>
      </c>
      <c r="D69" s="60">
        <v>3553340631.9499998</v>
      </c>
    </row>
    <row r="70" spans="2:14" ht="30">
      <c r="B70" s="49" t="s">
        <v>4381</v>
      </c>
      <c r="C70" s="41" t="s">
        <v>3017</v>
      </c>
      <c r="D70" s="60">
        <v>0</v>
      </c>
    </row>
    <row r="71" spans="2:14">
      <c r="B71" s="47" t="s">
        <v>4352</v>
      </c>
      <c r="C71" s="41" t="s">
        <v>3021</v>
      </c>
      <c r="D71" s="60">
        <v>1009175101.4778066</v>
      </c>
    </row>
    <row r="72" spans="2:14">
      <c r="B72" s="47" t="s">
        <v>4382</v>
      </c>
      <c r="C72" s="44" t="s">
        <v>2878</v>
      </c>
      <c r="D72" s="46"/>
    </row>
    <row r="73" spans="2:14">
      <c r="B73" s="49" t="s">
        <v>4383</v>
      </c>
      <c r="C73" s="41" t="s">
        <v>3023</v>
      </c>
      <c r="D73" s="60">
        <v>0</v>
      </c>
    </row>
    <row r="74" spans="2:14">
      <c r="B74" s="49" t="s">
        <v>4384</v>
      </c>
      <c r="C74" s="41" t="s">
        <v>3072</v>
      </c>
      <c r="D74" s="60">
        <v>47514685.476921223</v>
      </c>
    </row>
    <row r="75" spans="2:14">
      <c r="B75" s="47" t="s">
        <v>4385</v>
      </c>
      <c r="C75" s="41" t="s">
        <v>3118</v>
      </c>
      <c r="D75" s="60">
        <v>47514685.476921223</v>
      </c>
    </row>
    <row r="77" spans="2:14">
      <c r="M77" s="13"/>
      <c r="N77" s="13"/>
    </row>
  </sheetData>
  <mergeCells count="10">
    <mergeCell ref="B55:L55"/>
    <mergeCell ref="D59:D62"/>
    <mergeCell ref="B2:O2"/>
    <mergeCell ref="B5:L5"/>
    <mergeCell ref="D9:H10"/>
    <mergeCell ref="D11:D12"/>
    <mergeCell ref="E11:E12"/>
    <mergeCell ref="F11:F12"/>
    <mergeCell ref="G11:G12"/>
    <mergeCell ref="H11:H12"/>
  </mergeCell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6808B-BB26-4D4C-BE25-38E9C1EBA78D}">
  <sheetPr codeName="Blad107"/>
  <dimension ref="B2:O105"/>
  <sheetViews>
    <sheetView showGridLines="0" workbookViewId="0"/>
  </sheetViews>
  <sheetFormatPr defaultRowHeight="15"/>
  <cols>
    <col min="2" max="2" width="85.28515625" bestFit="1" customWidth="1"/>
    <col min="4" max="8" width="15.7109375" customWidth="1"/>
  </cols>
  <sheetData>
    <row r="2" spans="2:15" ht="23.25">
      <c r="B2" s="86" t="s">
        <v>668</v>
      </c>
      <c r="C2" s="87"/>
      <c r="D2" s="87"/>
      <c r="E2" s="87"/>
      <c r="F2" s="87"/>
      <c r="G2" s="87"/>
      <c r="H2" s="87"/>
      <c r="I2" s="87"/>
      <c r="J2" s="87"/>
      <c r="K2" s="87"/>
      <c r="L2" s="87"/>
      <c r="M2" s="87"/>
      <c r="N2" s="87"/>
      <c r="O2" s="87"/>
    </row>
    <row r="5" spans="2:15" ht="18.75">
      <c r="B5" s="88" t="s">
        <v>4386</v>
      </c>
      <c r="C5" s="87"/>
      <c r="D5" s="87"/>
      <c r="E5" s="87"/>
      <c r="F5" s="87"/>
      <c r="G5" s="87"/>
      <c r="H5" s="87"/>
      <c r="I5" s="87"/>
      <c r="J5" s="87"/>
      <c r="K5" s="87"/>
      <c r="L5" s="87"/>
    </row>
    <row r="9" spans="2:15">
      <c r="D9" s="92" t="s">
        <v>2877</v>
      </c>
      <c r="E9" s="93"/>
      <c r="F9" s="93"/>
      <c r="G9" s="93"/>
      <c r="H9" s="94"/>
    </row>
    <row r="10" spans="2:15">
      <c r="D10" s="95"/>
      <c r="E10" s="96"/>
      <c r="F10" s="96"/>
      <c r="G10" s="96"/>
      <c r="H10" s="97"/>
    </row>
    <row r="11" spans="2:15">
      <c r="D11" s="89" t="s">
        <v>3480</v>
      </c>
      <c r="E11" s="89" t="s">
        <v>2546</v>
      </c>
      <c r="F11" s="89" t="s">
        <v>2547</v>
      </c>
      <c r="G11" s="89" t="s">
        <v>2548</v>
      </c>
      <c r="H11" s="89" t="s">
        <v>2549</v>
      </c>
    </row>
    <row r="12" spans="2:15">
      <c r="D12" s="91"/>
      <c r="E12" s="91"/>
      <c r="F12" s="91"/>
      <c r="G12" s="91"/>
      <c r="H12" s="91"/>
    </row>
    <row r="13" spans="2:15">
      <c r="D13" s="45" t="s">
        <v>2879</v>
      </c>
      <c r="E13" s="45" t="s">
        <v>3219</v>
      </c>
      <c r="F13" s="45" t="s">
        <v>3225</v>
      </c>
      <c r="G13" s="45" t="s">
        <v>3223</v>
      </c>
      <c r="H13" s="45" t="s">
        <v>3229</v>
      </c>
      <c r="M13" s="13" t="str">
        <f>Show!$B$103&amp;"S.23.01.04.01 Rows {"&amp;COLUMN($C$1)&amp;"}"&amp;"@ForceFilingCode:true"</f>
        <v>!S.23.01.04.01 Rows {3}@ForceFilingCode:true</v>
      </c>
      <c r="N13" s="13" t="str">
        <f>Show!$B$103&amp;"S.23.01.04.01 Columns {"&amp;COLUMN($D$1)&amp;"}"</f>
        <v>!S.23.01.04.01 Columns {4}</v>
      </c>
    </row>
    <row r="14" spans="2:15">
      <c r="B14" s="43" t="s">
        <v>2880</v>
      </c>
      <c r="C14" s="44" t="s">
        <v>2878</v>
      </c>
      <c r="D14" s="58"/>
      <c r="E14" s="67"/>
      <c r="F14" s="67"/>
      <c r="G14" s="67"/>
      <c r="H14" s="59"/>
    </row>
    <row r="15" spans="2:15">
      <c r="B15" s="47" t="s">
        <v>4387</v>
      </c>
      <c r="C15" s="44" t="s">
        <v>2878</v>
      </c>
      <c r="D15" s="56"/>
      <c r="E15" s="66"/>
      <c r="F15" s="67"/>
      <c r="G15" s="66"/>
      <c r="H15" s="59"/>
    </row>
    <row r="16" spans="2:15">
      <c r="B16" s="49" t="s">
        <v>4345</v>
      </c>
      <c r="C16" s="41" t="s">
        <v>2883</v>
      </c>
      <c r="D16" s="60"/>
      <c r="E16" s="64"/>
      <c r="F16" s="48"/>
      <c r="G16" s="64"/>
      <c r="H16" s="48"/>
    </row>
    <row r="17" spans="2:8">
      <c r="B17" s="49" t="s">
        <v>4388</v>
      </c>
      <c r="C17" s="41" t="s">
        <v>2885</v>
      </c>
      <c r="D17" s="60"/>
      <c r="E17" s="64"/>
      <c r="F17" s="48"/>
      <c r="G17" s="64"/>
      <c r="H17" s="48"/>
    </row>
    <row r="18" spans="2:8">
      <c r="B18" s="49" t="s">
        <v>4346</v>
      </c>
      <c r="C18" s="41" t="s">
        <v>2887</v>
      </c>
      <c r="D18" s="60"/>
      <c r="E18" s="64"/>
      <c r="F18" s="48"/>
      <c r="G18" s="64"/>
      <c r="H18" s="48"/>
    </row>
    <row r="19" spans="2:8" ht="30">
      <c r="B19" s="49" t="s">
        <v>4347</v>
      </c>
      <c r="C19" s="41" t="s">
        <v>2889</v>
      </c>
      <c r="D19" s="60"/>
      <c r="E19" s="65"/>
      <c r="F19" s="46"/>
      <c r="G19" s="64"/>
      <c r="H19" s="46"/>
    </row>
    <row r="20" spans="2:8">
      <c r="B20" s="49" t="s">
        <v>4348</v>
      </c>
      <c r="C20" s="41" t="s">
        <v>3078</v>
      </c>
      <c r="D20" s="64"/>
      <c r="E20" s="48"/>
      <c r="F20" s="60"/>
      <c r="G20" s="60"/>
      <c r="H20" s="60"/>
    </row>
    <row r="21" spans="2:8">
      <c r="B21" s="49" t="s">
        <v>4389</v>
      </c>
      <c r="C21" s="41" t="s">
        <v>2891</v>
      </c>
      <c r="D21" s="64"/>
      <c r="E21" s="46"/>
      <c r="F21" s="63"/>
      <c r="G21" s="63"/>
      <c r="H21" s="63"/>
    </row>
    <row r="22" spans="2:8">
      <c r="B22" s="49" t="s">
        <v>4349</v>
      </c>
      <c r="C22" s="41" t="s">
        <v>2893</v>
      </c>
      <c r="D22" s="60"/>
      <c r="E22" s="64"/>
      <c r="F22" s="58"/>
      <c r="G22" s="58"/>
      <c r="H22" s="48"/>
    </row>
    <row r="23" spans="2:8">
      <c r="B23" s="49" t="s">
        <v>4390</v>
      </c>
      <c r="C23" s="41" t="s">
        <v>2895</v>
      </c>
      <c r="D23" s="60"/>
      <c r="E23" s="65"/>
      <c r="F23" s="56"/>
      <c r="G23" s="56"/>
      <c r="H23" s="46"/>
    </row>
    <row r="24" spans="2:8">
      <c r="B24" s="49" t="s">
        <v>4350</v>
      </c>
      <c r="C24" s="41" t="s">
        <v>2897</v>
      </c>
      <c r="D24" s="64"/>
      <c r="E24" s="48"/>
      <c r="F24" s="60"/>
      <c r="G24" s="60"/>
      <c r="H24" s="60"/>
    </row>
    <row r="25" spans="2:8">
      <c r="B25" s="49" t="s">
        <v>4391</v>
      </c>
      <c r="C25" s="41" t="s">
        <v>2899</v>
      </c>
      <c r="D25" s="64"/>
      <c r="E25" s="48"/>
      <c r="F25" s="60"/>
      <c r="G25" s="60"/>
      <c r="H25" s="60"/>
    </row>
    <row r="26" spans="2:8">
      <c r="B26" s="49" t="s">
        <v>4351</v>
      </c>
      <c r="C26" s="41" t="s">
        <v>2901</v>
      </c>
      <c r="D26" s="64"/>
      <c r="E26" s="48"/>
      <c r="F26" s="60"/>
      <c r="G26" s="60"/>
      <c r="H26" s="60"/>
    </row>
    <row r="27" spans="2:8">
      <c r="B27" s="49" t="s">
        <v>4392</v>
      </c>
      <c r="C27" s="41" t="s">
        <v>2903</v>
      </c>
      <c r="D27" s="64"/>
      <c r="E27" s="46"/>
      <c r="F27" s="63"/>
      <c r="G27" s="63"/>
      <c r="H27" s="63"/>
    </row>
    <row r="28" spans="2:8">
      <c r="B28" s="49" t="s">
        <v>4352</v>
      </c>
      <c r="C28" s="41" t="s">
        <v>2905</v>
      </c>
      <c r="D28" s="60"/>
      <c r="E28" s="65"/>
      <c r="F28" s="56"/>
      <c r="G28" s="56"/>
      <c r="H28" s="46"/>
    </row>
    <row r="29" spans="2:8">
      <c r="B29" s="49" t="s">
        <v>3309</v>
      </c>
      <c r="C29" s="41" t="s">
        <v>2907</v>
      </c>
      <c r="D29" s="64"/>
      <c r="E29" s="48"/>
      <c r="F29" s="60"/>
      <c r="G29" s="60"/>
      <c r="H29" s="60"/>
    </row>
    <row r="30" spans="2:8">
      <c r="B30" s="49" t="s">
        <v>4393</v>
      </c>
      <c r="C30" s="41" t="s">
        <v>2909</v>
      </c>
      <c r="D30" s="64"/>
      <c r="E30" s="48"/>
      <c r="F30" s="63"/>
      <c r="G30" s="63"/>
      <c r="H30" s="60"/>
    </row>
    <row r="31" spans="2:8">
      <c r="B31" s="49" t="s">
        <v>4353</v>
      </c>
      <c r="C31" s="41" t="s">
        <v>2911</v>
      </c>
      <c r="D31" s="64"/>
      <c r="E31" s="58"/>
      <c r="F31" s="58"/>
      <c r="G31" s="48"/>
      <c r="H31" s="60"/>
    </row>
    <row r="32" spans="2:8">
      <c r="B32" s="49" t="s">
        <v>4394</v>
      </c>
      <c r="C32" s="41" t="s">
        <v>2913</v>
      </c>
      <c r="D32" s="64"/>
      <c r="E32" s="56"/>
      <c r="F32" s="56"/>
      <c r="G32" s="46"/>
      <c r="H32" s="60"/>
    </row>
    <row r="33" spans="2:8">
      <c r="B33" s="49" t="s">
        <v>4395</v>
      </c>
      <c r="C33" s="41" t="s">
        <v>2915</v>
      </c>
      <c r="D33" s="60"/>
      <c r="E33" s="60"/>
      <c r="F33" s="60"/>
      <c r="G33" s="60"/>
      <c r="H33" s="60"/>
    </row>
    <row r="34" spans="2:8" ht="30">
      <c r="B34" s="49" t="s">
        <v>4396</v>
      </c>
      <c r="C34" s="41" t="s">
        <v>2917</v>
      </c>
      <c r="D34" s="60"/>
      <c r="E34" s="60"/>
      <c r="F34" s="60"/>
      <c r="G34" s="60"/>
      <c r="H34" s="60"/>
    </row>
    <row r="35" spans="2:8">
      <c r="B35" s="49" t="s">
        <v>4397</v>
      </c>
      <c r="C35" s="41" t="s">
        <v>2919</v>
      </c>
      <c r="D35" s="60"/>
      <c r="E35" s="60"/>
      <c r="F35" s="60"/>
      <c r="G35" s="60"/>
      <c r="H35" s="60"/>
    </row>
    <row r="36" spans="2:8">
      <c r="B36" s="49" t="s">
        <v>4398</v>
      </c>
      <c r="C36" s="41" t="s">
        <v>2921</v>
      </c>
      <c r="D36" s="63"/>
      <c r="E36" s="63"/>
      <c r="F36" s="63"/>
      <c r="G36" s="63"/>
      <c r="H36" s="63"/>
    </row>
    <row r="37" spans="2:8" ht="45">
      <c r="B37" s="47" t="s">
        <v>4355</v>
      </c>
      <c r="C37" s="44" t="s">
        <v>2878</v>
      </c>
      <c r="D37" s="56"/>
      <c r="E37" s="67"/>
      <c r="F37" s="67"/>
      <c r="G37" s="67"/>
      <c r="H37" s="59"/>
    </row>
    <row r="38" spans="2:8" ht="45">
      <c r="B38" s="49" t="s">
        <v>4355</v>
      </c>
      <c r="C38" s="41" t="s">
        <v>2923</v>
      </c>
      <c r="D38" s="65"/>
      <c r="E38" s="58"/>
      <c r="F38" s="58"/>
      <c r="G38" s="58"/>
      <c r="H38" s="48"/>
    </row>
    <row r="39" spans="2:8">
      <c r="B39" s="47" t="s">
        <v>4356</v>
      </c>
      <c r="C39" s="44" t="s">
        <v>2878</v>
      </c>
      <c r="D39" s="56"/>
      <c r="E39" s="66"/>
      <c r="F39" s="66"/>
      <c r="G39" s="66"/>
      <c r="H39" s="57"/>
    </row>
    <row r="40" spans="2:8" ht="30">
      <c r="B40" s="49" t="s">
        <v>4399</v>
      </c>
      <c r="C40" s="41" t="s">
        <v>2925</v>
      </c>
      <c r="D40" s="60"/>
      <c r="E40" s="60"/>
      <c r="F40" s="60"/>
      <c r="G40" s="60"/>
      <c r="H40" s="63"/>
    </row>
    <row r="41" spans="2:8">
      <c r="B41" s="49" t="s">
        <v>4400</v>
      </c>
      <c r="C41" s="41" t="s">
        <v>2927</v>
      </c>
      <c r="D41" s="60"/>
      <c r="E41" s="60"/>
      <c r="F41" s="60"/>
      <c r="G41" s="64"/>
      <c r="H41" s="46"/>
    </row>
    <row r="42" spans="2:8">
      <c r="B42" s="49" t="s">
        <v>4401</v>
      </c>
      <c r="C42" s="41" t="s">
        <v>2929</v>
      </c>
      <c r="D42" s="60"/>
      <c r="E42" s="60"/>
      <c r="F42" s="60"/>
      <c r="G42" s="60"/>
      <c r="H42" s="60"/>
    </row>
    <row r="43" spans="2:8" ht="30">
      <c r="B43" s="49" t="s">
        <v>4402</v>
      </c>
      <c r="C43" s="41" t="s">
        <v>2931</v>
      </c>
      <c r="D43" s="60"/>
      <c r="E43" s="60"/>
      <c r="F43" s="60"/>
      <c r="G43" s="60"/>
      <c r="H43" s="60"/>
    </row>
    <row r="44" spans="2:8">
      <c r="B44" s="49" t="s">
        <v>4403</v>
      </c>
      <c r="C44" s="41" t="s">
        <v>2933</v>
      </c>
      <c r="D44" s="60"/>
      <c r="E44" s="60"/>
      <c r="F44" s="60"/>
      <c r="G44" s="60"/>
      <c r="H44" s="60"/>
    </row>
    <row r="45" spans="2:8">
      <c r="B45" s="47" t="s">
        <v>4404</v>
      </c>
      <c r="C45" s="41" t="s">
        <v>2935</v>
      </c>
      <c r="D45" s="60"/>
      <c r="E45" s="60"/>
      <c r="F45" s="60"/>
      <c r="G45" s="60"/>
      <c r="H45" s="60"/>
    </row>
    <row r="46" spans="2:8">
      <c r="B46" s="47" t="s">
        <v>4358</v>
      </c>
      <c r="C46" s="41" t="s">
        <v>2937</v>
      </c>
      <c r="D46" s="63"/>
      <c r="E46" s="63"/>
      <c r="F46" s="63"/>
      <c r="G46" s="63"/>
      <c r="H46" s="63"/>
    </row>
    <row r="47" spans="2:8">
      <c r="B47" s="47" t="s">
        <v>1232</v>
      </c>
      <c r="C47" s="44" t="s">
        <v>2878</v>
      </c>
      <c r="D47" s="56"/>
      <c r="E47" s="67"/>
      <c r="F47" s="67"/>
      <c r="G47" s="66"/>
      <c r="H47" s="59"/>
    </row>
    <row r="48" spans="2:8">
      <c r="B48" s="49" t="s">
        <v>4359</v>
      </c>
      <c r="C48" s="41" t="s">
        <v>2939</v>
      </c>
      <c r="D48" s="64"/>
      <c r="E48" s="58"/>
      <c r="F48" s="48"/>
      <c r="G48" s="64"/>
      <c r="H48" s="48"/>
    </row>
    <row r="49" spans="2:8" ht="30">
      <c r="B49" s="49" t="s">
        <v>4360</v>
      </c>
      <c r="C49" s="41" t="s">
        <v>2941</v>
      </c>
      <c r="D49" s="64"/>
      <c r="E49" s="58"/>
      <c r="F49" s="48"/>
      <c r="G49" s="64"/>
      <c r="H49" s="46"/>
    </row>
    <row r="50" spans="2:8">
      <c r="B50" s="49" t="s">
        <v>4361</v>
      </c>
      <c r="C50" s="41" t="s">
        <v>2943</v>
      </c>
      <c r="D50" s="64"/>
      <c r="E50" s="58"/>
      <c r="F50" s="48"/>
      <c r="G50" s="60"/>
      <c r="H50" s="60"/>
    </row>
    <row r="51" spans="2:8" ht="30">
      <c r="B51" s="49" t="s">
        <v>4362</v>
      </c>
      <c r="C51" s="41" t="s">
        <v>2945</v>
      </c>
      <c r="D51" s="64"/>
      <c r="E51" s="58"/>
      <c r="F51" s="48"/>
      <c r="G51" s="60"/>
      <c r="H51" s="63"/>
    </row>
    <row r="52" spans="2:8">
      <c r="B52" s="49" t="s">
        <v>4363</v>
      </c>
      <c r="C52" s="41" t="s">
        <v>2947</v>
      </c>
      <c r="D52" s="64"/>
      <c r="E52" s="58"/>
      <c r="F52" s="48"/>
      <c r="G52" s="64"/>
      <c r="H52" s="46"/>
    </row>
    <row r="53" spans="2:8" ht="30">
      <c r="B53" s="49" t="s">
        <v>4364</v>
      </c>
      <c r="C53" s="41" t="s">
        <v>2949</v>
      </c>
      <c r="D53" s="64"/>
      <c r="E53" s="58"/>
      <c r="F53" s="48"/>
      <c r="G53" s="60"/>
      <c r="H53" s="63"/>
    </row>
    <row r="54" spans="2:8" ht="30">
      <c r="B54" s="49" t="s">
        <v>4365</v>
      </c>
      <c r="C54" s="41" t="s">
        <v>2951</v>
      </c>
      <c r="D54" s="64"/>
      <c r="E54" s="58"/>
      <c r="F54" s="48"/>
      <c r="G54" s="64"/>
      <c r="H54" s="46"/>
    </row>
    <row r="55" spans="2:8" ht="30">
      <c r="B55" s="49" t="s">
        <v>4366</v>
      </c>
      <c r="C55" s="41" t="s">
        <v>2953</v>
      </c>
      <c r="D55" s="64"/>
      <c r="E55" s="58"/>
      <c r="F55" s="48"/>
      <c r="G55" s="60"/>
      <c r="H55" s="60"/>
    </row>
    <row r="56" spans="2:8">
      <c r="B56" s="49" t="s">
        <v>4405</v>
      </c>
      <c r="C56" s="41" t="s">
        <v>2955</v>
      </c>
      <c r="D56" s="64"/>
      <c r="E56" s="58"/>
      <c r="F56" s="48"/>
      <c r="G56" s="60"/>
      <c r="H56" s="60"/>
    </row>
    <row r="57" spans="2:8">
      <c r="B57" s="49" t="s">
        <v>4367</v>
      </c>
      <c r="C57" s="41" t="s">
        <v>2957</v>
      </c>
      <c r="D57" s="64"/>
      <c r="E57" s="58"/>
      <c r="F57" s="48"/>
      <c r="G57" s="60"/>
      <c r="H57" s="60"/>
    </row>
    <row r="58" spans="2:8">
      <c r="B58" s="47" t="s">
        <v>4368</v>
      </c>
      <c r="C58" s="41" t="s">
        <v>2959</v>
      </c>
      <c r="D58" s="65"/>
      <c r="E58" s="58"/>
      <c r="F58" s="48"/>
      <c r="G58" s="63"/>
      <c r="H58" s="63"/>
    </row>
    <row r="59" spans="2:8">
      <c r="B59" s="47" t="s">
        <v>4406</v>
      </c>
      <c r="C59" s="44" t="s">
        <v>2878</v>
      </c>
      <c r="D59" s="56"/>
      <c r="E59" s="66"/>
      <c r="F59" s="66"/>
      <c r="G59" s="66"/>
      <c r="H59" s="59"/>
    </row>
    <row r="60" spans="2:8" ht="30">
      <c r="B60" s="49" t="s">
        <v>4407</v>
      </c>
      <c r="C60" s="41" t="s">
        <v>2961</v>
      </c>
      <c r="D60" s="60"/>
      <c r="E60" s="60"/>
      <c r="F60" s="60"/>
      <c r="G60" s="64"/>
      <c r="H60" s="46"/>
    </row>
    <row r="61" spans="2:8">
      <c r="B61" s="49" t="s">
        <v>2772</v>
      </c>
      <c r="C61" s="41" t="s">
        <v>2963</v>
      </c>
      <c r="D61" s="60"/>
      <c r="E61" s="60"/>
      <c r="F61" s="60"/>
      <c r="G61" s="60"/>
      <c r="H61" s="63"/>
    </row>
    <row r="62" spans="2:8">
      <c r="B62" s="49" t="s">
        <v>4408</v>
      </c>
      <c r="C62" s="41" t="s">
        <v>2965</v>
      </c>
      <c r="D62" s="60"/>
      <c r="E62" s="60"/>
      <c r="F62" s="60"/>
      <c r="G62" s="64"/>
      <c r="H62" s="46"/>
    </row>
    <row r="63" spans="2:8">
      <c r="B63" s="49" t="s">
        <v>4409</v>
      </c>
      <c r="C63" s="41" t="s">
        <v>2967</v>
      </c>
      <c r="D63" s="63"/>
      <c r="E63" s="63"/>
      <c r="F63" s="63"/>
      <c r="G63" s="63"/>
      <c r="H63" s="63"/>
    </row>
    <row r="64" spans="2:8">
      <c r="B64" s="47" t="s">
        <v>4410</v>
      </c>
      <c r="C64" s="44" t="s">
        <v>2878</v>
      </c>
      <c r="D64" s="56"/>
      <c r="E64" s="66"/>
      <c r="F64" s="66"/>
      <c r="G64" s="66"/>
      <c r="H64" s="57"/>
    </row>
    <row r="65" spans="2:14">
      <c r="B65" s="49" t="s">
        <v>4411</v>
      </c>
      <c r="C65" s="41" t="s">
        <v>2969</v>
      </c>
      <c r="D65" s="60"/>
      <c r="E65" s="60"/>
      <c r="F65" s="60"/>
      <c r="G65" s="60"/>
      <c r="H65" s="60"/>
    </row>
    <row r="66" spans="2:14">
      <c r="B66" s="49" t="s">
        <v>4412</v>
      </c>
      <c r="C66" s="41" t="s">
        <v>2971</v>
      </c>
      <c r="D66" s="60"/>
      <c r="E66" s="60"/>
      <c r="F66" s="60"/>
      <c r="G66" s="60"/>
      <c r="H66" s="60"/>
    </row>
    <row r="67" spans="2:14" ht="30">
      <c r="B67" s="49" t="s">
        <v>4413</v>
      </c>
      <c r="C67" s="41" t="s">
        <v>2981</v>
      </c>
      <c r="D67" s="60"/>
      <c r="E67" s="60"/>
      <c r="F67" s="60"/>
      <c r="G67" s="60"/>
      <c r="H67" s="63"/>
    </row>
    <row r="68" spans="2:14">
      <c r="B68" s="49" t="s">
        <v>4414</v>
      </c>
      <c r="C68" s="41" t="s">
        <v>2983</v>
      </c>
      <c r="D68" s="60"/>
      <c r="E68" s="60"/>
      <c r="F68" s="60"/>
      <c r="G68" s="64"/>
      <c r="H68" s="46"/>
    </row>
    <row r="69" spans="2:14" ht="30">
      <c r="B69" s="49" t="s">
        <v>4415</v>
      </c>
      <c r="C69" s="41" t="s">
        <v>2989</v>
      </c>
      <c r="D69" s="60"/>
      <c r="E69" s="60"/>
      <c r="F69" s="60"/>
      <c r="G69" s="60"/>
      <c r="H69" s="63"/>
    </row>
    <row r="70" spans="2:14">
      <c r="B70" s="49" t="s">
        <v>4416</v>
      </c>
      <c r="C70" s="41" t="s">
        <v>2991</v>
      </c>
      <c r="D70" s="60"/>
      <c r="E70" s="63"/>
      <c r="F70" s="63"/>
      <c r="G70" s="65"/>
      <c r="H70" s="48"/>
    </row>
    <row r="71" spans="2:14">
      <c r="B71" s="47" t="s">
        <v>4417</v>
      </c>
      <c r="C71" s="41" t="s">
        <v>2995</v>
      </c>
      <c r="D71" s="64"/>
      <c r="E71" s="58"/>
      <c r="F71" s="58"/>
      <c r="G71" s="58"/>
      <c r="H71" s="48"/>
    </row>
    <row r="72" spans="2:14">
      <c r="B72" s="47" t="s">
        <v>4418</v>
      </c>
      <c r="C72" s="41" t="s">
        <v>2999</v>
      </c>
      <c r="D72" s="64"/>
      <c r="E72" s="58"/>
      <c r="F72" s="58"/>
      <c r="G72" s="58"/>
      <c r="H72" s="48"/>
    </row>
    <row r="73" spans="2:14" ht="30">
      <c r="B73" s="47" t="s">
        <v>4419</v>
      </c>
      <c r="C73" s="41" t="s">
        <v>3003</v>
      </c>
      <c r="D73" s="71"/>
      <c r="E73" s="58"/>
      <c r="F73" s="58"/>
      <c r="G73" s="58"/>
      <c r="H73" s="48"/>
    </row>
    <row r="74" spans="2:14">
      <c r="B74" s="47" t="s">
        <v>4420</v>
      </c>
      <c r="C74" s="41" t="s">
        <v>3007</v>
      </c>
      <c r="D74" s="71"/>
      <c r="E74" s="56"/>
      <c r="F74" s="56"/>
      <c r="G74" s="56"/>
      <c r="H74" s="46"/>
    </row>
    <row r="75" spans="2:14" ht="30">
      <c r="B75" s="47" t="s">
        <v>4421</v>
      </c>
      <c r="C75" s="41" t="s">
        <v>3009</v>
      </c>
      <c r="D75" s="60"/>
      <c r="E75" s="63"/>
      <c r="F75" s="63"/>
      <c r="G75" s="63"/>
      <c r="H75" s="63"/>
    </row>
    <row r="76" spans="2:14">
      <c r="B76" s="47" t="s">
        <v>4422</v>
      </c>
      <c r="C76" s="41" t="s">
        <v>3011</v>
      </c>
      <c r="D76" s="64"/>
      <c r="E76" s="58"/>
      <c r="F76" s="58"/>
      <c r="G76" s="58"/>
      <c r="H76" s="48"/>
    </row>
    <row r="77" spans="2:14">
      <c r="B77" s="47" t="s">
        <v>4423</v>
      </c>
      <c r="C77" s="41" t="s">
        <v>3013</v>
      </c>
      <c r="D77" s="64"/>
      <c r="E77" s="58"/>
      <c r="F77" s="58"/>
      <c r="G77" s="58"/>
      <c r="H77" s="48"/>
    </row>
    <row r="78" spans="2:14" ht="30">
      <c r="B78" s="47" t="s">
        <v>4424</v>
      </c>
      <c r="C78" s="41" t="s">
        <v>3015</v>
      </c>
      <c r="D78" s="71"/>
      <c r="E78" s="56"/>
      <c r="F78" s="56"/>
      <c r="G78" s="56"/>
      <c r="H78" s="46"/>
    </row>
    <row r="80" spans="2:14">
      <c r="M80" s="13" t="str">
        <f>Show!$B$103&amp;Show!$B$103&amp;"S.23.01.04.01 Rows {"&amp;COLUMN($C$1)&amp;"}"</f>
        <v>!!S.23.01.04.01 Rows {3}</v>
      </c>
      <c r="N80" s="13" t="str">
        <f>Show!$B$103&amp;Show!$B$103&amp;"S.23.01.04.01 Columns {"&amp;COLUMN($H$1)&amp;"}"</f>
        <v>!!S.23.01.04.01 Columns {8}</v>
      </c>
    </row>
    <row r="82" spans="2:14" ht="18.75">
      <c r="B82" s="88" t="s">
        <v>4425</v>
      </c>
      <c r="C82" s="87"/>
      <c r="D82" s="87"/>
      <c r="E82" s="87"/>
      <c r="F82" s="87"/>
      <c r="G82" s="87"/>
      <c r="H82" s="87"/>
      <c r="I82" s="87"/>
      <c r="J82" s="87"/>
      <c r="K82" s="87"/>
      <c r="L82" s="87"/>
    </row>
    <row r="86" spans="2:14">
      <c r="D86" s="89" t="s">
        <v>2877</v>
      </c>
    </row>
    <row r="87" spans="2:14">
      <c r="D87" s="90"/>
    </row>
    <row r="88" spans="2:14">
      <c r="D88" s="90"/>
    </row>
    <row r="89" spans="2:14">
      <c r="D89" s="91"/>
    </row>
    <row r="90" spans="2:14">
      <c r="D90" s="45" t="s">
        <v>3231</v>
      </c>
      <c r="M90" s="13" t="str">
        <f>Show!$B$103&amp;"S.23.01.04.02 Rows {"&amp;COLUMN($C$1)&amp;"}"&amp;"@ForceFilingCode:true"</f>
        <v>!S.23.01.04.02 Rows {3}@ForceFilingCode:true</v>
      </c>
      <c r="N90" s="13" t="str">
        <f>Show!$B$103&amp;"S.23.01.04.02 Columns {"&amp;COLUMN($D$1)&amp;"}"</f>
        <v>!S.23.01.04.02 Columns {4}</v>
      </c>
    </row>
    <row r="91" spans="2:14">
      <c r="B91" s="43" t="s">
        <v>2880</v>
      </c>
      <c r="C91" s="44" t="s">
        <v>2878</v>
      </c>
      <c r="D91" s="48"/>
    </row>
    <row r="92" spans="2:14">
      <c r="B92" s="47" t="s">
        <v>4352</v>
      </c>
      <c r="C92" s="44" t="s">
        <v>2878</v>
      </c>
      <c r="D92" s="46"/>
    </row>
    <row r="93" spans="2:14">
      <c r="B93" s="49" t="s">
        <v>3314</v>
      </c>
      <c r="C93" s="41" t="s">
        <v>3064</v>
      </c>
      <c r="D93" s="60"/>
    </row>
    <row r="94" spans="2:14">
      <c r="B94" s="49" t="s">
        <v>4378</v>
      </c>
      <c r="C94" s="41" t="s">
        <v>3066</v>
      </c>
      <c r="D94" s="60"/>
    </row>
    <row r="95" spans="2:14">
      <c r="B95" s="49" t="s">
        <v>4379</v>
      </c>
      <c r="C95" s="41" t="s">
        <v>3068</v>
      </c>
      <c r="D95" s="60"/>
    </row>
    <row r="96" spans="2:14">
      <c r="B96" s="49" t="s">
        <v>4380</v>
      </c>
      <c r="C96" s="41" t="s">
        <v>3070</v>
      </c>
      <c r="D96" s="60"/>
    </row>
    <row r="97" spans="2:14" ht="30">
      <c r="B97" s="49" t="s">
        <v>4381</v>
      </c>
      <c r="C97" s="41" t="s">
        <v>3017</v>
      </c>
      <c r="D97" s="60"/>
    </row>
    <row r="98" spans="2:14">
      <c r="B98" s="49" t="s">
        <v>4426</v>
      </c>
      <c r="C98" s="41" t="s">
        <v>3019</v>
      </c>
      <c r="D98" s="60"/>
    </row>
    <row r="99" spans="2:14">
      <c r="B99" s="47" t="s">
        <v>4352</v>
      </c>
      <c r="C99" s="41" t="s">
        <v>3021</v>
      </c>
      <c r="D99" s="63"/>
    </row>
    <row r="100" spans="2:14">
      <c r="B100" s="47" t="s">
        <v>4382</v>
      </c>
      <c r="C100" s="44" t="s">
        <v>2878</v>
      </c>
      <c r="D100" s="46"/>
    </row>
    <row r="101" spans="2:14">
      <c r="B101" s="49" t="s">
        <v>4383</v>
      </c>
      <c r="C101" s="41" t="s">
        <v>3023</v>
      </c>
      <c r="D101" s="60"/>
    </row>
    <row r="102" spans="2:14">
      <c r="B102" s="49" t="s">
        <v>4384</v>
      </c>
      <c r="C102" s="41" t="s">
        <v>3072</v>
      </c>
      <c r="D102" s="60"/>
    </row>
    <row r="103" spans="2:14">
      <c r="B103" s="47" t="s">
        <v>4385</v>
      </c>
      <c r="C103" s="41" t="s">
        <v>3118</v>
      </c>
      <c r="D103" s="60"/>
    </row>
    <row r="105" spans="2:14">
      <c r="M105" s="13" t="str">
        <f>Show!$B$103&amp;Show!$B$103&amp;"S.23.01.04.02 Rows {"&amp;COLUMN($C$1)&amp;"}"</f>
        <v>!!S.23.01.04.02 Rows {3}</v>
      </c>
      <c r="N105" s="13" t="str">
        <f>Show!$B$103&amp;Show!$B$103&amp;"S.23.01.04.02 Columns {"&amp;COLUMN($D$1)&amp;"}"</f>
        <v>!!S.23.01.04.02 Columns {4}</v>
      </c>
    </row>
  </sheetData>
  <sheetProtection sheet="1" objects="1" scenarios="1"/>
  <mergeCells count="10">
    <mergeCell ref="B82:L82"/>
    <mergeCell ref="D86:D89"/>
    <mergeCell ref="B2:O2"/>
    <mergeCell ref="B5:L5"/>
    <mergeCell ref="D9:H10"/>
    <mergeCell ref="D11:D12"/>
    <mergeCell ref="E11:E12"/>
    <mergeCell ref="F11:F12"/>
    <mergeCell ref="G11:G12"/>
    <mergeCell ref="H11:H12"/>
  </mergeCells>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C07AF-670D-4754-ABC6-16E9D4FE86D5}">
  <sheetPr codeName="Blad108"/>
  <dimension ref="B2:O58"/>
  <sheetViews>
    <sheetView showGridLines="0" workbookViewId="0"/>
  </sheetViews>
  <sheetFormatPr defaultRowHeight="15"/>
  <cols>
    <col min="2" max="2" width="83.85546875" bestFit="1" customWidth="1"/>
    <col min="4" max="8" width="15.7109375" customWidth="1"/>
  </cols>
  <sheetData>
    <row r="2" spans="2:15" ht="23.25">
      <c r="B2" s="86" t="s">
        <v>668</v>
      </c>
      <c r="C2" s="87"/>
      <c r="D2" s="87"/>
      <c r="E2" s="87"/>
      <c r="F2" s="87"/>
      <c r="G2" s="87"/>
      <c r="H2" s="87"/>
      <c r="I2" s="87"/>
      <c r="J2" s="87"/>
      <c r="K2" s="87"/>
      <c r="L2" s="87"/>
      <c r="M2" s="87"/>
      <c r="N2" s="87"/>
      <c r="O2" s="87"/>
    </row>
    <row r="5" spans="2:15" ht="18.75">
      <c r="B5" s="88" t="s">
        <v>4427</v>
      </c>
      <c r="C5" s="87"/>
      <c r="D5" s="87"/>
      <c r="E5" s="87"/>
      <c r="F5" s="87"/>
      <c r="G5" s="87"/>
      <c r="H5" s="87"/>
      <c r="I5" s="87"/>
      <c r="J5" s="87"/>
      <c r="K5" s="87"/>
      <c r="L5" s="87"/>
    </row>
    <row r="9" spans="2:15">
      <c r="D9" s="92" t="s">
        <v>2877</v>
      </c>
      <c r="E9" s="93"/>
      <c r="F9" s="93"/>
      <c r="G9" s="93"/>
      <c r="H9" s="94"/>
    </row>
    <row r="10" spans="2:15">
      <c r="D10" s="95"/>
      <c r="E10" s="96"/>
      <c r="F10" s="96"/>
      <c r="G10" s="96"/>
      <c r="H10" s="97"/>
    </row>
    <row r="11" spans="2:15">
      <c r="D11" s="89" t="s">
        <v>3480</v>
      </c>
      <c r="E11" s="89" t="s">
        <v>2546</v>
      </c>
      <c r="F11" s="89" t="s">
        <v>2547</v>
      </c>
      <c r="G11" s="89" t="s">
        <v>2548</v>
      </c>
      <c r="H11" s="89" t="s">
        <v>2549</v>
      </c>
    </row>
    <row r="12" spans="2:15">
      <c r="D12" s="91"/>
      <c r="E12" s="91"/>
      <c r="F12" s="91"/>
      <c r="G12" s="91"/>
      <c r="H12" s="91"/>
    </row>
    <row r="13" spans="2:15">
      <c r="D13" s="45" t="s">
        <v>2879</v>
      </c>
      <c r="E13" s="45" t="s">
        <v>3219</v>
      </c>
      <c r="F13" s="45" t="s">
        <v>3225</v>
      </c>
      <c r="G13" s="45" t="s">
        <v>3223</v>
      </c>
      <c r="H13" s="45" t="s">
        <v>3229</v>
      </c>
      <c r="M13" s="13" t="str">
        <f>Show!$B$104&amp;"S.23.01.07.01 Rows {"&amp;COLUMN($C$1)&amp;"}"&amp;"@ForceFilingCode:true"</f>
        <v>!S.23.01.07.01 Rows {3}@ForceFilingCode:true</v>
      </c>
      <c r="N13" s="13" t="str">
        <f>Show!$B$104&amp;"S.23.01.07.01 Columns {"&amp;COLUMN($D$1)&amp;"}"</f>
        <v>!S.23.01.07.01 Columns {4}</v>
      </c>
    </row>
    <row r="14" spans="2:15">
      <c r="B14" s="43" t="s">
        <v>2880</v>
      </c>
      <c r="C14" s="44" t="s">
        <v>2878</v>
      </c>
      <c r="D14" s="58"/>
      <c r="E14" s="67"/>
      <c r="F14" s="67"/>
      <c r="G14" s="67"/>
      <c r="H14" s="59"/>
    </row>
    <row r="15" spans="2:15">
      <c r="B15" s="47" t="s">
        <v>4387</v>
      </c>
      <c r="C15" s="44" t="s">
        <v>2878</v>
      </c>
      <c r="D15" s="56"/>
      <c r="E15" s="66"/>
      <c r="F15" s="67"/>
      <c r="G15" s="67"/>
      <c r="H15" s="59"/>
    </row>
    <row r="16" spans="2:15">
      <c r="B16" s="49" t="s">
        <v>4352</v>
      </c>
      <c r="C16" s="41" t="s">
        <v>2905</v>
      </c>
      <c r="D16" s="60"/>
      <c r="E16" s="65"/>
      <c r="F16" s="58"/>
      <c r="G16" s="58"/>
      <c r="H16" s="46"/>
    </row>
    <row r="17" spans="2:8">
      <c r="B17" s="49" t="s">
        <v>4353</v>
      </c>
      <c r="C17" s="41" t="s">
        <v>2911</v>
      </c>
      <c r="D17" s="65"/>
      <c r="E17" s="58"/>
      <c r="F17" s="58"/>
      <c r="G17" s="48"/>
      <c r="H17" s="63"/>
    </row>
    <row r="18" spans="2:8">
      <c r="B18" s="47" t="s">
        <v>4356</v>
      </c>
      <c r="C18" s="44" t="s">
        <v>2878</v>
      </c>
      <c r="D18" s="56"/>
      <c r="E18" s="66"/>
      <c r="F18" s="66"/>
      <c r="G18" s="66"/>
      <c r="H18" s="59"/>
    </row>
    <row r="19" spans="2:8">
      <c r="B19" s="49" t="s">
        <v>4357</v>
      </c>
      <c r="C19" s="41" t="s">
        <v>2925</v>
      </c>
      <c r="D19" s="60"/>
      <c r="E19" s="60"/>
      <c r="F19" s="60"/>
      <c r="G19" s="64"/>
      <c r="H19" s="46"/>
    </row>
    <row r="20" spans="2:8">
      <c r="B20" s="47" t="s">
        <v>4358</v>
      </c>
      <c r="C20" s="41" t="s">
        <v>2937</v>
      </c>
      <c r="D20" s="63"/>
      <c r="E20" s="63"/>
      <c r="F20" s="63"/>
      <c r="G20" s="63"/>
      <c r="H20" s="63"/>
    </row>
    <row r="21" spans="2:8">
      <c r="B21" s="47" t="s">
        <v>1232</v>
      </c>
      <c r="C21" s="44" t="s">
        <v>2878</v>
      </c>
      <c r="D21" s="56"/>
      <c r="E21" s="67"/>
      <c r="F21" s="67"/>
      <c r="G21" s="66"/>
      <c r="H21" s="59"/>
    </row>
    <row r="22" spans="2:8">
      <c r="B22" s="49" t="s">
        <v>4363</v>
      </c>
      <c r="C22" s="41" t="s">
        <v>2947</v>
      </c>
      <c r="D22" s="64"/>
      <c r="E22" s="58"/>
      <c r="F22" s="48"/>
      <c r="G22" s="64"/>
      <c r="H22" s="46"/>
    </row>
    <row r="23" spans="2:8" ht="30">
      <c r="B23" s="49" t="s">
        <v>4364</v>
      </c>
      <c r="C23" s="41" t="s">
        <v>2949</v>
      </c>
      <c r="D23" s="64"/>
      <c r="E23" s="58"/>
      <c r="F23" s="48"/>
      <c r="G23" s="60"/>
      <c r="H23" s="60"/>
    </row>
    <row r="24" spans="2:8">
      <c r="B24" s="49" t="s">
        <v>4367</v>
      </c>
      <c r="C24" s="41" t="s">
        <v>2957</v>
      </c>
      <c r="D24" s="64"/>
      <c r="E24" s="58"/>
      <c r="F24" s="48"/>
      <c r="G24" s="60"/>
      <c r="H24" s="60"/>
    </row>
    <row r="25" spans="2:8">
      <c r="B25" s="47" t="s">
        <v>4368</v>
      </c>
      <c r="C25" s="41" t="s">
        <v>2959</v>
      </c>
      <c r="D25" s="65"/>
      <c r="E25" s="58"/>
      <c r="F25" s="48"/>
      <c r="G25" s="63"/>
      <c r="H25" s="63"/>
    </row>
    <row r="26" spans="2:8">
      <c r="B26" s="47" t="s">
        <v>4369</v>
      </c>
      <c r="C26" s="44" t="s">
        <v>2878</v>
      </c>
      <c r="D26" s="56"/>
      <c r="E26" s="66"/>
      <c r="F26" s="66"/>
      <c r="G26" s="66"/>
      <c r="H26" s="57"/>
    </row>
    <row r="27" spans="2:8">
      <c r="B27" s="49" t="s">
        <v>4370</v>
      </c>
      <c r="C27" s="41" t="s">
        <v>2977</v>
      </c>
      <c r="D27" s="60"/>
      <c r="E27" s="60"/>
      <c r="F27" s="60"/>
      <c r="G27" s="60"/>
      <c r="H27" s="63"/>
    </row>
    <row r="28" spans="2:8">
      <c r="B28" s="49" t="s">
        <v>4371</v>
      </c>
      <c r="C28" s="41" t="s">
        <v>2979</v>
      </c>
      <c r="D28" s="60"/>
      <c r="E28" s="60"/>
      <c r="F28" s="60"/>
      <c r="G28" s="64"/>
      <c r="H28" s="46"/>
    </row>
    <row r="29" spans="2:8">
      <c r="B29" s="49" t="s">
        <v>4372</v>
      </c>
      <c r="C29" s="41" t="s">
        <v>2985</v>
      </c>
      <c r="D29" s="60"/>
      <c r="E29" s="60"/>
      <c r="F29" s="60"/>
      <c r="G29" s="60"/>
      <c r="H29" s="63"/>
    </row>
    <row r="30" spans="2:8">
      <c r="B30" s="49" t="s">
        <v>4373</v>
      </c>
      <c r="C30" s="41" t="s">
        <v>2987</v>
      </c>
      <c r="D30" s="60"/>
      <c r="E30" s="63"/>
      <c r="F30" s="63"/>
      <c r="G30" s="65"/>
      <c r="H30" s="48"/>
    </row>
    <row r="31" spans="2:8">
      <c r="B31" s="47" t="s">
        <v>292</v>
      </c>
      <c r="C31" s="41" t="s">
        <v>2993</v>
      </c>
      <c r="D31" s="64"/>
      <c r="E31" s="58"/>
      <c r="F31" s="58"/>
      <c r="G31" s="58"/>
      <c r="H31" s="48"/>
    </row>
    <row r="32" spans="2:8">
      <c r="B32" s="47" t="s">
        <v>4374</v>
      </c>
      <c r="C32" s="41" t="s">
        <v>2997</v>
      </c>
      <c r="D32" s="64"/>
      <c r="E32" s="58"/>
      <c r="F32" s="58"/>
      <c r="G32" s="58"/>
      <c r="H32" s="48"/>
    </row>
    <row r="33" spans="2:14">
      <c r="B33" s="47" t="s">
        <v>4375</v>
      </c>
      <c r="C33" s="41" t="s">
        <v>3001</v>
      </c>
      <c r="D33" s="71"/>
      <c r="E33" s="58"/>
      <c r="F33" s="58"/>
      <c r="G33" s="58"/>
      <c r="H33" s="48"/>
    </row>
    <row r="34" spans="2:14">
      <c r="B34" s="47" t="s">
        <v>4376</v>
      </c>
      <c r="C34" s="41" t="s">
        <v>3005</v>
      </c>
      <c r="D34" s="71"/>
      <c r="E34" s="56"/>
      <c r="F34" s="56"/>
      <c r="G34" s="56"/>
      <c r="H34" s="46"/>
    </row>
    <row r="36" spans="2:14">
      <c r="M36" s="13" t="str">
        <f>Show!$B$104&amp;Show!$B$104&amp;"S.23.01.07.01 Rows {"&amp;COLUMN($C$1)&amp;"}"</f>
        <v>!!S.23.01.07.01 Rows {3}</v>
      </c>
      <c r="N36" s="13" t="str">
        <f>Show!$B$104&amp;Show!$B$104&amp;"S.23.01.07.01 Columns {"&amp;COLUMN($H$1)&amp;"}"</f>
        <v>!!S.23.01.07.01 Columns {8}</v>
      </c>
    </row>
    <row r="38" spans="2:14" ht="18.75">
      <c r="B38" s="88" t="s">
        <v>4428</v>
      </c>
      <c r="C38" s="87"/>
      <c r="D38" s="87"/>
      <c r="E38" s="87"/>
      <c r="F38" s="87"/>
      <c r="G38" s="87"/>
      <c r="H38" s="87"/>
      <c r="I38" s="87"/>
      <c r="J38" s="87"/>
      <c r="K38" s="87"/>
      <c r="L38" s="87"/>
    </row>
    <row r="42" spans="2:14">
      <c r="D42" s="89" t="s">
        <v>2877</v>
      </c>
    </row>
    <row r="43" spans="2:14">
      <c r="D43" s="90"/>
    </row>
    <row r="44" spans="2:14">
      <c r="D44" s="90"/>
    </row>
    <row r="45" spans="2:14">
      <c r="D45" s="91"/>
    </row>
    <row r="46" spans="2:14">
      <c r="D46" s="45" t="s">
        <v>3231</v>
      </c>
      <c r="M46" s="13" t="str">
        <f>Show!$B$104&amp;"S.23.01.07.02 Rows {"&amp;COLUMN($C$1)&amp;"}"&amp;"@ForceFilingCode:true"</f>
        <v>!S.23.01.07.02 Rows {3}@ForceFilingCode:true</v>
      </c>
      <c r="N46" s="13" t="str">
        <f>Show!$B$104&amp;"S.23.01.07.02 Columns {"&amp;COLUMN($D$1)&amp;"}"</f>
        <v>!S.23.01.07.02 Columns {4}</v>
      </c>
    </row>
    <row r="47" spans="2:14">
      <c r="B47" s="43" t="s">
        <v>2880</v>
      </c>
      <c r="C47" s="44" t="s">
        <v>2878</v>
      </c>
      <c r="D47" s="48"/>
    </row>
    <row r="48" spans="2:14">
      <c r="B48" s="47" t="s">
        <v>4352</v>
      </c>
      <c r="C48" s="44" t="s">
        <v>2878</v>
      </c>
      <c r="D48" s="46"/>
    </row>
    <row r="49" spans="2:14">
      <c r="B49" s="49" t="s">
        <v>3314</v>
      </c>
      <c r="C49" s="41" t="s">
        <v>3064</v>
      </c>
      <c r="D49" s="60"/>
    </row>
    <row r="50" spans="2:14">
      <c r="B50" s="49" t="s">
        <v>4380</v>
      </c>
      <c r="C50" s="41" t="s">
        <v>3070</v>
      </c>
      <c r="D50" s="60"/>
    </row>
    <row r="51" spans="2:14" ht="30">
      <c r="B51" s="49" t="s">
        <v>4381</v>
      </c>
      <c r="C51" s="41" t="s">
        <v>3017</v>
      </c>
      <c r="D51" s="60"/>
    </row>
    <row r="52" spans="2:14">
      <c r="B52" s="47" t="s">
        <v>4352</v>
      </c>
      <c r="C52" s="41" t="s">
        <v>3021</v>
      </c>
      <c r="D52" s="63"/>
    </row>
    <row r="53" spans="2:14">
      <c r="B53" s="47" t="s">
        <v>4382</v>
      </c>
      <c r="C53" s="44" t="s">
        <v>2878</v>
      </c>
      <c r="D53" s="46"/>
    </row>
    <row r="54" spans="2:14">
      <c r="B54" s="49" t="s">
        <v>4383</v>
      </c>
      <c r="C54" s="41" t="s">
        <v>3023</v>
      </c>
      <c r="D54" s="60"/>
    </row>
    <row r="55" spans="2:14">
      <c r="B55" s="49" t="s">
        <v>4384</v>
      </c>
      <c r="C55" s="41" t="s">
        <v>3072</v>
      </c>
      <c r="D55" s="60"/>
    </row>
    <row r="56" spans="2:14">
      <c r="B56" s="47" t="s">
        <v>4385</v>
      </c>
      <c r="C56" s="41" t="s">
        <v>3118</v>
      </c>
      <c r="D56" s="60"/>
    </row>
    <row r="58" spans="2:14">
      <c r="M58" s="13" t="str">
        <f>Show!$B$104&amp;Show!$B$104&amp;"S.23.01.07.02 Rows {"&amp;COLUMN($C$1)&amp;"}"</f>
        <v>!!S.23.01.07.02 Rows {3}</v>
      </c>
      <c r="N58" s="13" t="str">
        <f>Show!$B$104&amp;Show!$B$104&amp;"S.23.01.07.02 Columns {"&amp;COLUMN($D$1)&amp;"}"</f>
        <v>!!S.23.01.07.02 Columns {4}</v>
      </c>
    </row>
  </sheetData>
  <sheetProtection sheet="1" objects="1" scenarios="1"/>
  <mergeCells count="10">
    <mergeCell ref="B38:L38"/>
    <mergeCell ref="D42:D45"/>
    <mergeCell ref="B2:O2"/>
    <mergeCell ref="B5:L5"/>
    <mergeCell ref="D9:H10"/>
    <mergeCell ref="D11:D12"/>
    <mergeCell ref="E11:E12"/>
    <mergeCell ref="F11:F12"/>
    <mergeCell ref="G11:G12"/>
    <mergeCell ref="H11:H12"/>
  </mergeCells>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900E4-4229-4369-8232-FEF1CCF9F2F7}">
  <sheetPr codeName="Blad109"/>
  <dimension ref="B2:O19"/>
  <sheetViews>
    <sheetView showGridLines="0" workbookViewId="0"/>
  </sheetViews>
  <sheetFormatPr defaultRowHeight="15"/>
  <cols>
    <col min="2" max="2" width="84.5703125" bestFit="1" customWidth="1"/>
    <col min="4" max="8" width="15.7109375" customWidth="1"/>
  </cols>
  <sheetData>
    <row r="2" spans="2:15" ht="23.25">
      <c r="B2" s="86" t="s">
        <v>668</v>
      </c>
      <c r="C2" s="87"/>
      <c r="D2" s="87"/>
      <c r="E2" s="87"/>
      <c r="F2" s="87"/>
      <c r="G2" s="87"/>
      <c r="H2" s="87"/>
      <c r="I2" s="87"/>
      <c r="J2" s="87"/>
      <c r="K2" s="87"/>
      <c r="L2" s="87"/>
      <c r="M2" s="87"/>
      <c r="N2" s="87"/>
      <c r="O2" s="87"/>
    </row>
    <row r="5" spans="2:15" ht="18.75">
      <c r="B5" s="88" t="s">
        <v>4429</v>
      </c>
      <c r="C5" s="87"/>
      <c r="D5" s="87"/>
      <c r="E5" s="87"/>
      <c r="F5" s="87"/>
      <c r="G5" s="87"/>
      <c r="H5" s="87"/>
      <c r="I5" s="87"/>
      <c r="J5" s="87"/>
      <c r="K5" s="87"/>
      <c r="L5" s="87"/>
    </row>
    <row r="9" spans="2:15">
      <c r="D9" s="92" t="s">
        <v>2877</v>
      </c>
      <c r="E9" s="93"/>
      <c r="F9" s="93"/>
      <c r="G9" s="93"/>
      <c r="H9" s="94"/>
    </row>
    <row r="10" spans="2:15">
      <c r="D10" s="95"/>
      <c r="E10" s="96"/>
      <c r="F10" s="96"/>
      <c r="G10" s="96"/>
      <c r="H10" s="97"/>
    </row>
    <row r="11" spans="2:15" ht="30">
      <c r="D11" s="55" t="s">
        <v>3480</v>
      </c>
      <c r="E11" s="55" t="s">
        <v>2546</v>
      </c>
      <c r="F11" s="55" t="s">
        <v>2547</v>
      </c>
      <c r="G11" s="55" t="s">
        <v>2548</v>
      </c>
      <c r="H11" s="55" t="s">
        <v>2549</v>
      </c>
    </row>
    <row r="12" spans="2:15">
      <c r="D12" s="45" t="s">
        <v>2879</v>
      </c>
      <c r="E12" s="45" t="s">
        <v>3219</v>
      </c>
      <c r="F12" s="45" t="s">
        <v>3225</v>
      </c>
      <c r="G12" s="45" t="s">
        <v>3223</v>
      </c>
      <c r="H12" s="45" t="s">
        <v>3229</v>
      </c>
      <c r="M12" s="13" t="str">
        <f>Show!$B$105&amp;"S.23.01.13.01 Rows {"&amp;COLUMN($C$1)&amp;"}"&amp;"@ForceFilingCode:true"</f>
        <v>!S.23.01.13.01 Rows {3}@ForceFilingCode:true</v>
      </c>
      <c r="N12" s="13" t="str">
        <f>Show!$B$105&amp;"S.23.01.13.01 Columns {"&amp;COLUMN($D$1)&amp;"}"</f>
        <v>!S.23.01.13.01 Columns {4}</v>
      </c>
    </row>
    <row r="13" spans="2:15">
      <c r="B13" s="43" t="s">
        <v>2880</v>
      </c>
      <c r="C13" s="44" t="s">
        <v>2878</v>
      </c>
      <c r="D13" s="56"/>
      <c r="E13" s="67"/>
      <c r="F13" s="66"/>
      <c r="G13" s="66"/>
      <c r="H13" s="57"/>
    </row>
    <row r="14" spans="2:15">
      <c r="B14" s="47" t="s">
        <v>3309</v>
      </c>
      <c r="C14" s="41" t="s">
        <v>2907</v>
      </c>
      <c r="D14" s="64"/>
      <c r="E14" s="46"/>
      <c r="F14" s="60"/>
      <c r="G14" s="60"/>
      <c r="H14" s="60"/>
    </row>
    <row r="15" spans="2:15">
      <c r="B15" s="47" t="s">
        <v>4358</v>
      </c>
      <c r="C15" s="41" t="s">
        <v>2937</v>
      </c>
      <c r="D15" s="60"/>
      <c r="E15" s="60"/>
      <c r="F15" s="60"/>
      <c r="G15" s="60"/>
      <c r="H15" s="63"/>
    </row>
    <row r="16" spans="2:15">
      <c r="B16" s="47" t="s">
        <v>4416</v>
      </c>
      <c r="C16" s="41" t="s">
        <v>2991</v>
      </c>
      <c r="D16" s="60"/>
      <c r="E16" s="60"/>
      <c r="F16" s="60"/>
      <c r="G16" s="64"/>
      <c r="H16" s="46"/>
    </row>
    <row r="17" spans="2:14" ht="30">
      <c r="B17" s="47" t="s">
        <v>4421</v>
      </c>
      <c r="C17" s="41" t="s">
        <v>3009</v>
      </c>
      <c r="D17" s="60"/>
      <c r="E17" s="60"/>
      <c r="F17" s="60"/>
      <c r="G17" s="60"/>
      <c r="H17" s="60"/>
    </row>
    <row r="19" spans="2:14">
      <c r="M19" s="13" t="str">
        <f>Show!$B$105&amp;Show!$B$105&amp;"S.23.01.13.01 Rows {"&amp;COLUMN($C$1)&amp;"}"</f>
        <v>!!S.23.01.13.01 Rows {3}</v>
      </c>
      <c r="N19" s="13" t="str">
        <f>Show!$B$105&amp;Show!$B$105&amp;"S.23.01.13.01 Columns {"&amp;COLUMN($H$1)&amp;"}"</f>
        <v>!!S.23.01.13.01 Columns {8}</v>
      </c>
    </row>
  </sheetData>
  <sheetProtection sheet="1" objects="1" scenarios="1"/>
  <mergeCells count="3">
    <mergeCell ref="B2:O2"/>
    <mergeCell ref="B5:L5"/>
    <mergeCell ref="D9:H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D4700-1607-41CD-A48C-12FF74D1D458}">
  <sheetPr codeName="Blad11"/>
  <dimension ref="B2:O28"/>
  <sheetViews>
    <sheetView showGridLines="0" workbookViewId="0"/>
  </sheetViews>
  <sheetFormatPr defaultRowHeight="15"/>
  <cols>
    <col min="2" max="2" width="81.140625" bestFit="1" customWidth="1"/>
    <col min="4" max="4" width="40.7109375" customWidth="1"/>
  </cols>
  <sheetData>
    <row r="2" spans="2:15" ht="23.25">
      <c r="B2" s="86" t="s">
        <v>512</v>
      </c>
      <c r="C2" s="87"/>
      <c r="D2" s="87"/>
      <c r="E2" s="87"/>
      <c r="F2" s="87"/>
      <c r="G2" s="87"/>
      <c r="H2" s="87"/>
      <c r="I2" s="87"/>
      <c r="J2" s="87"/>
      <c r="K2" s="87"/>
      <c r="L2" s="87"/>
      <c r="M2" s="87"/>
      <c r="N2" s="87"/>
      <c r="O2" s="87"/>
    </row>
    <row r="5" spans="2:15" ht="18.75">
      <c r="B5" s="88" t="s">
        <v>3086</v>
      </c>
      <c r="C5" s="87"/>
      <c r="D5" s="87"/>
      <c r="E5" s="87"/>
      <c r="F5" s="87"/>
      <c r="G5" s="87"/>
      <c r="H5" s="87"/>
      <c r="I5" s="87"/>
      <c r="J5" s="87"/>
      <c r="K5" s="87"/>
      <c r="L5" s="87"/>
    </row>
    <row r="9" spans="2:15">
      <c r="D9" s="89" t="s">
        <v>2877</v>
      </c>
    </row>
    <row r="10" spans="2:15">
      <c r="D10" s="90"/>
    </row>
    <row r="11" spans="2:15">
      <c r="D11" s="90"/>
    </row>
    <row r="12" spans="2:15">
      <c r="D12" s="91"/>
    </row>
    <row r="13" spans="2:15">
      <c r="D13" s="45" t="s">
        <v>2879</v>
      </c>
      <c r="I13" s="13" t="str">
        <f>IF(COUNTIF(D:D,"Reported")&gt;0,Show!$B$7,"!")&amp;"S.01.01.08.01 Rows {"&amp;COLUMN($C$1)&amp;"}"&amp;"@ForceFilingCode:true"</f>
        <v>!S.01.01.08.01 Rows {3}@ForceFilingCode:true</v>
      </c>
      <c r="J13" s="13" t="str">
        <f>IF(COUNTIF(D:D,"Reported")&gt;0,Show!$B$7,"!")&amp;"S.01.01.08.01 Columns {"&amp;COLUMN($D$1)&amp;"}"</f>
        <v>!S.01.01.08.01 Columns {4}</v>
      </c>
    </row>
    <row r="14" spans="2:15">
      <c r="B14" s="43" t="s">
        <v>2880</v>
      </c>
      <c r="C14" s="44" t="s">
        <v>2878</v>
      </c>
      <c r="D14" s="48"/>
    </row>
    <row r="15" spans="2:15">
      <c r="B15" s="47" t="s">
        <v>2881</v>
      </c>
      <c r="C15" s="44" t="s">
        <v>2878</v>
      </c>
      <c r="D15" s="46"/>
    </row>
    <row r="16" spans="2:15">
      <c r="B16" s="52" t="s">
        <v>3075</v>
      </c>
      <c r="C16" s="41" t="s">
        <v>2883</v>
      </c>
      <c r="D16" s="51"/>
    </row>
    <row r="17" spans="2:10">
      <c r="B17" s="52" t="s">
        <v>3087</v>
      </c>
      <c r="C17" s="41" t="s">
        <v>2887</v>
      </c>
      <c r="D17" s="51"/>
    </row>
    <row r="18" spans="2:10">
      <c r="B18" s="52" t="s">
        <v>3026</v>
      </c>
      <c r="C18" s="41" t="s">
        <v>2901</v>
      </c>
      <c r="D18" s="51"/>
    </row>
    <row r="19" spans="2:10">
      <c r="B19" s="52" t="s">
        <v>3079</v>
      </c>
      <c r="C19" s="41" t="s">
        <v>2907</v>
      </c>
      <c r="D19" s="51"/>
    </row>
    <row r="20" spans="2:10">
      <c r="B20" s="52" t="s">
        <v>2908</v>
      </c>
      <c r="C20" s="41" t="s">
        <v>2909</v>
      </c>
      <c r="D20" s="51"/>
    </row>
    <row r="21" spans="2:10">
      <c r="B21" s="52" t="s">
        <v>2912</v>
      </c>
      <c r="C21" s="41" t="s">
        <v>2913</v>
      </c>
      <c r="D21" s="51"/>
    </row>
    <row r="22" spans="2:10">
      <c r="B22" s="52" t="s">
        <v>2914</v>
      </c>
      <c r="C22" s="41" t="s">
        <v>2915</v>
      </c>
      <c r="D22" s="51"/>
    </row>
    <row r="23" spans="2:10">
      <c r="B23" s="52" t="s">
        <v>3027</v>
      </c>
      <c r="C23" s="41" t="s">
        <v>2923</v>
      </c>
      <c r="D23" s="51"/>
    </row>
    <row r="24" spans="2:10">
      <c r="B24" s="52" t="s">
        <v>3028</v>
      </c>
      <c r="C24" s="41" t="s">
        <v>2937</v>
      </c>
      <c r="D24" s="51"/>
    </row>
    <row r="25" spans="2:10">
      <c r="B25" s="52" t="s">
        <v>3082</v>
      </c>
      <c r="C25" s="41" t="s">
        <v>2961</v>
      </c>
      <c r="D25" s="51"/>
    </row>
    <row r="26" spans="2:10" ht="30">
      <c r="B26" s="52" t="s">
        <v>2992</v>
      </c>
      <c r="C26" s="41" t="s">
        <v>2993</v>
      </c>
      <c r="D26" s="51"/>
    </row>
    <row r="27" spans="2:10">
      <c r="B27" s="52" t="s">
        <v>2994</v>
      </c>
      <c r="C27" s="41" t="s">
        <v>2995</v>
      </c>
      <c r="D27" s="51"/>
    </row>
    <row r="28" spans="2:10">
      <c r="I28" s="13" t="str">
        <f>IF(COUNTIF(D:D,"Reported")&gt;0,Show!$B$7&amp;Show!$B$7,"!!")&amp;"S.01.01.08.01 Rows {"&amp;COLUMN($C$1)&amp;"}"</f>
        <v>!!S.01.01.08.01 Rows {3}</v>
      </c>
      <c r="J28" s="13" t="str">
        <f>IF(COUNTIF(D:D,"Reported")&gt;0,Show!$B$7&amp;Show!$B$7,"!!")&amp;"S.01.01.08.01 Columns {"&amp;COLUMN($D$1)&amp;"}"</f>
        <v>!!S.01.01.08.01 Columns {4}</v>
      </c>
    </row>
  </sheetData>
  <sheetProtection sheet="1" objects="1" scenarios="1"/>
  <mergeCells count="3">
    <mergeCell ref="B2:O2"/>
    <mergeCell ref="B5:L5"/>
    <mergeCell ref="D9:D12"/>
  </mergeCells>
  <dataValidations count="10">
    <dataValidation type="list" errorStyle="warning" allowBlank="1" showInputMessage="1" showErrorMessage="1" sqref="D16" xr:uid="{17C40E75-72F2-43C3-B3C8-5191956B9827}">
      <formula1>hier_CN_2</formula1>
    </dataValidation>
    <dataValidation type="list" errorStyle="warning" allowBlank="1" showInputMessage="1" showErrorMessage="1" sqref="D17" xr:uid="{EC2ED426-DB74-47DE-9B0C-C23EE1CF9BDD}">
      <formula1>hier_CN_106</formula1>
    </dataValidation>
    <dataValidation type="list" errorStyle="warning" allowBlank="1" showInputMessage="1" showErrorMessage="1" sqref="D18 D25" xr:uid="{2F97714A-9B99-4D7A-B91A-EB7AD2726DE9}">
      <formula1>hier_CN_115</formula1>
    </dataValidation>
    <dataValidation type="list" errorStyle="warning" allowBlank="1" showInputMessage="1" showErrorMessage="1" sqref="D19" xr:uid="{B7A273AB-F4CD-4F5A-9C11-538707807FCC}">
      <formula1>hier_CN_97</formula1>
    </dataValidation>
    <dataValidation type="list" errorStyle="warning" allowBlank="1" showInputMessage="1" showErrorMessage="1" sqref="D20" xr:uid="{CD9975E5-63EA-4DC2-ABB8-A33579224464}">
      <formula1>hier_CN_119</formula1>
    </dataValidation>
    <dataValidation type="list" errorStyle="warning" allowBlank="1" showInputMessage="1" showErrorMessage="1" sqref="D21 D22" xr:uid="{85064751-65F7-42EC-8A2D-7AB03EF184AD}">
      <formula1>hier_CN_100</formula1>
    </dataValidation>
    <dataValidation type="list" errorStyle="warning" allowBlank="1" showInputMessage="1" showErrorMessage="1" sqref="D23" xr:uid="{3F86D50A-4FD5-45D7-B842-3A947BB81D35}">
      <formula1>hier_CN_103</formula1>
    </dataValidation>
    <dataValidation type="list" errorStyle="warning" allowBlank="1" showInputMessage="1" showErrorMessage="1" sqref="D24" xr:uid="{96D57628-E452-43B5-8CD5-BF5299C9C923}">
      <formula1>hier_CN_104</formula1>
    </dataValidation>
    <dataValidation type="list" errorStyle="warning" allowBlank="1" showInputMessage="1" showErrorMessage="1" sqref="D26" xr:uid="{5BAF2914-43DB-4BCF-B357-C0E86A8E2AC0}">
      <formula1>hier_CN_85</formula1>
    </dataValidation>
    <dataValidation type="list" errorStyle="warning" allowBlank="1" showInputMessage="1" showErrorMessage="1" sqref="D27" xr:uid="{08EC07DD-BFED-4D49-966D-8088BEE262E7}">
      <formula1>hier_CN_86</formula1>
    </dataValidation>
  </dataValidations>
  <hyperlinks>
    <hyperlink ref="B16" location="'S.01.02.07'!A1" display="S.01.02.07 - Basic Information - General" xr:uid="{C6B93C68-636C-4711-91EA-77905562C777}"/>
    <hyperlink ref="B17" location="'S.02.01.08'!A1" display="S.02.01.08 - Balance Sheet" xr:uid="{9EAC0F36-3AF7-48EB-9F26-3C6EA5E35EDF}"/>
    <hyperlink ref="B18" location="'S.05.01.02'!A1" display="S.05.01.02 - Premiums, claims and expenses by line of business" xr:uid="{6A53C0F6-4FAD-4E47-93B8-6B56A6AAB761}"/>
    <hyperlink ref="B19" location="'S.06.02.07'!A1" display="S.06.02.07 - List of assets" xr:uid="{5D912B96-393C-4D80-A847-8008F5499E9F}"/>
    <hyperlink ref="B20" location="'S.06.03.01'!A1" display="S.06.03.01 - Collective investment undertakings - look-through approach" xr:uid="{8A00A695-6608-4727-81F7-EC1B4A5092A6}"/>
    <hyperlink ref="B21" location="'S.08.01.01'!A1" display="S.08.01.01 - Open derivatives" xr:uid="{BD819711-B957-49B2-A6E8-8704DB1FF336}"/>
    <hyperlink ref="B22" location="'S.08.02.01'!A1" display="S.08.02.01 - Derivatives Transactions" xr:uid="{D0EF001F-F79D-4271-9243-95F07179C609}"/>
    <hyperlink ref="B23" location="'S.12.01.02'!A1" display="S.12.01.02 - Life and Health SLT Technical Provisions" xr:uid="{7BD351F5-9B9C-4833-949A-1907B87AF967}"/>
    <hyperlink ref="B24" location="'S.17.01.02'!A1" display="S.17.01.02 - Non-Life Technical Provisions" xr:uid="{445F8823-8E92-465A-87D3-6DB17E342D4E}"/>
    <hyperlink ref="B25" location="'S.23.01.07'!A1" display="S.23.01.07 - Own funds" xr:uid="{76E4377E-31D0-46C8-937B-A6300FDE2870}"/>
    <hyperlink ref="B26" location="'S.28.01.01'!A1" display="S.28.01.01 - Minimum Capital Requirement - Only life or only non-life insurance or reinsurance activity" xr:uid="{4FA844AD-A313-46CF-AA1F-DF2D08505CF0}"/>
    <hyperlink ref="B27" location="'S.28.02.01'!A1" display="S.28.02.01 - Minimum Capital Requirement - Both life and non-life insurance activity" xr:uid="{342097E1-EFB4-435D-8D18-11F992075E37}"/>
  </hyperlinks>
  <pageMargins left="0.7" right="0.7" top="0.75" bottom="0.75" header="0.3" footer="0.3"/>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49605-1AB7-4784-9B11-D398D97519F3}">
  <sheetPr codeName="Blad110"/>
  <dimension ref="B2:O102"/>
  <sheetViews>
    <sheetView showGridLines="0" workbookViewId="0"/>
  </sheetViews>
  <sheetFormatPr defaultRowHeight="15"/>
  <cols>
    <col min="2" max="2" width="85.28515625" bestFit="1" customWidth="1"/>
    <col min="4" max="8" width="15.7109375" customWidth="1"/>
  </cols>
  <sheetData>
    <row r="2" spans="2:15" ht="23.25">
      <c r="B2" s="86" t="s">
        <v>668</v>
      </c>
      <c r="C2" s="87"/>
      <c r="D2" s="87"/>
      <c r="E2" s="87"/>
      <c r="F2" s="87"/>
      <c r="G2" s="87"/>
      <c r="H2" s="87"/>
      <c r="I2" s="87"/>
      <c r="J2" s="87"/>
      <c r="K2" s="87"/>
      <c r="L2" s="87"/>
      <c r="M2" s="87"/>
      <c r="N2" s="87"/>
      <c r="O2" s="87"/>
    </row>
    <row r="5" spans="2:15" ht="18.75">
      <c r="B5" s="88" t="s">
        <v>4430</v>
      </c>
      <c r="C5" s="87"/>
      <c r="D5" s="87"/>
      <c r="E5" s="87"/>
      <c r="F5" s="87"/>
      <c r="G5" s="87"/>
      <c r="H5" s="87"/>
      <c r="I5" s="87"/>
      <c r="J5" s="87"/>
      <c r="K5" s="87"/>
      <c r="L5" s="87"/>
    </row>
    <row r="9" spans="2:15">
      <c r="D9" s="92" t="s">
        <v>2877</v>
      </c>
      <c r="E9" s="93"/>
      <c r="F9" s="93"/>
      <c r="G9" s="93"/>
      <c r="H9" s="94"/>
    </row>
    <row r="10" spans="2:15">
      <c r="D10" s="95"/>
      <c r="E10" s="96"/>
      <c r="F10" s="96"/>
      <c r="G10" s="96"/>
      <c r="H10" s="97"/>
    </row>
    <row r="11" spans="2:15">
      <c r="D11" s="89" t="s">
        <v>3480</v>
      </c>
      <c r="E11" s="89" t="s">
        <v>2546</v>
      </c>
      <c r="F11" s="89" t="s">
        <v>2547</v>
      </c>
      <c r="G11" s="89" t="s">
        <v>2548</v>
      </c>
      <c r="H11" s="89" t="s">
        <v>2549</v>
      </c>
    </row>
    <row r="12" spans="2:15">
      <c r="D12" s="91"/>
      <c r="E12" s="91"/>
      <c r="F12" s="91"/>
      <c r="G12" s="91"/>
      <c r="H12" s="91"/>
    </row>
    <row r="13" spans="2:15">
      <c r="D13" s="45" t="s">
        <v>2879</v>
      </c>
      <c r="E13" s="45" t="s">
        <v>3219</v>
      </c>
      <c r="F13" s="45" t="s">
        <v>3225</v>
      </c>
      <c r="G13" s="45" t="s">
        <v>3223</v>
      </c>
      <c r="H13" s="45" t="s">
        <v>3229</v>
      </c>
      <c r="M13" s="13" t="str">
        <f>Show!$B$106&amp;"S.23.01.22.01 Rows {"&amp;COLUMN($C$1)&amp;"}"&amp;"@ForceFilingCode:true"</f>
        <v>!S.23.01.22.01 Rows {3}@ForceFilingCode:true</v>
      </c>
      <c r="N13" s="13" t="str">
        <f>Show!$B$106&amp;"S.23.01.22.01 Columns {"&amp;COLUMN($D$1)&amp;"}"</f>
        <v>!S.23.01.22.01 Columns {4}</v>
      </c>
    </row>
    <row r="14" spans="2:15">
      <c r="B14" s="43" t="s">
        <v>2880</v>
      </c>
      <c r="C14" s="44" t="s">
        <v>2878</v>
      </c>
      <c r="D14" s="58"/>
      <c r="E14" s="67"/>
      <c r="F14" s="67"/>
      <c r="G14" s="67"/>
      <c r="H14" s="59"/>
    </row>
    <row r="15" spans="2:15">
      <c r="B15" s="47" t="s">
        <v>4387</v>
      </c>
      <c r="C15" s="44" t="s">
        <v>2878</v>
      </c>
      <c r="D15" s="56"/>
      <c r="E15" s="66"/>
      <c r="F15" s="67"/>
      <c r="G15" s="66"/>
      <c r="H15" s="59"/>
    </row>
    <row r="16" spans="2:15">
      <c r="B16" s="49" t="s">
        <v>4345</v>
      </c>
      <c r="C16" s="41" t="s">
        <v>2883</v>
      </c>
      <c r="D16" s="60"/>
      <c r="E16" s="64"/>
      <c r="F16" s="48"/>
      <c r="G16" s="64"/>
      <c r="H16" s="48"/>
    </row>
    <row r="17" spans="2:8">
      <c r="B17" s="49" t="s">
        <v>4388</v>
      </c>
      <c r="C17" s="41" t="s">
        <v>2885</v>
      </c>
      <c r="D17" s="60"/>
      <c r="E17" s="64"/>
      <c r="F17" s="48"/>
      <c r="G17" s="64"/>
      <c r="H17" s="48"/>
    </row>
    <row r="18" spans="2:8">
      <c r="B18" s="49" t="s">
        <v>4346</v>
      </c>
      <c r="C18" s="41" t="s">
        <v>2887</v>
      </c>
      <c r="D18" s="60"/>
      <c r="E18" s="64"/>
      <c r="F18" s="48"/>
      <c r="G18" s="64"/>
      <c r="H18" s="48"/>
    </row>
    <row r="19" spans="2:8" ht="30">
      <c r="B19" s="49" t="s">
        <v>4347</v>
      </c>
      <c r="C19" s="41" t="s">
        <v>2889</v>
      </c>
      <c r="D19" s="60"/>
      <c r="E19" s="65"/>
      <c r="F19" s="46"/>
      <c r="G19" s="64"/>
      <c r="H19" s="46"/>
    </row>
    <row r="20" spans="2:8">
      <c r="B20" s="49" t="s">
        <v>4348</v>
      </c>
      <c r="C20" s="41" t="s">
        <v>3078</v>
      </c>
      <c r="D20" s="64"/>
      <c r="E20" s="48"/>
      <c r="F20" s="60"/>
      <c r="G20" s="60"/>
      <c r="H20" s="60"/>
    </row>
    <row r="21" spans="2:8">
      <c r="B21" s="49" t="s">
        <v>4389</v>
      </c>
      <c r="C21" s="41" t="s">
        <v>2891</v>
      </c>
      <c r="D21" s="64"/>
      <c r="E21" s="46"/>
      <c r="F21" s="63"/>
      <c r="G21" s="63"/>
      <c r="H21" s="63"/>
    </row>
    <row r="22" spans="2:8">
      <c r="B22" s="49" t="s">
        <v>4349</v>
      </c>
      <c r="C22" s="41" t="s">
        <v>2893</v>
      </c>
      <c r="D22" s="60"/>
      <c r="E22" s="64"/>
      <c r="F22" s="58"/>
      <c r="G22" s="58"/>
      <c r="H22" s="48"/>
    </row>
    <row r="23" spans="2:8">
      <c r="B23" s="49" t="s">
        <v>4390</v>
      </c>
      <c r="C23" s="41" t="s">
        <v>2895</v>
      </c>
      <c r="D23" s="60"/>
      <c r="E23" s="65"/>
      <c r="F23" s="56"/>
      <c r="G23" s="56"/>
      <c r="H23" s="46"/>
    </row>
    <row r="24" spans="2:8">
      <c r="B24" s="49" t="s">
        <v>4350</v>
      </c>
      <c r="C24" s="41" t="s">
        <v>2897</v>
      </c>
      <c r="D24" s="64"/>
      <c r="E24" s="48"/>
      <c r="F24" s="60"/>
      <c r="G24" s="60"/>
      <c r="H24" s="60"/>
    </row>
    <row r="25" spans="2:8">
      <c r="B25" s="49" t="s">
        <v>4391</v>
      </c>
      <c r="C25" s="41" t="s">
        <v>2899</v>
      </c>
      <c r="D25" s="64"/>
      <c r="E25" s="48"/>
      <c r="F25" s="60"/>
      <c r="G25" s="60"/>
      <c r="H25" s="60"/>
    </row>
    <row r="26" spans="2:8">
      <c r="B26" s="49" t="s">
        <v>4351</v>
      </c>
      <c r="C26" s="41" t="s">
        <v>2901</v>
      </c>
      <c r="D26" s="64"/>
      <c r="E26" s="48"/>
      <c r="F26" s="60"/>
      <c r="G26" s="60"/>
      <c r="H26" s="60"/>
    </row>
    <row r="27" spans="2:8">
      <c r="B27" s="49" t="s">
        <v>4392</v>
      </c>
      <c r="C27" s="41" t="s">
        <v>2903</v>
      </c>
      <c r="D27" s="64"/>
      <c r="E27" s="46"/>
      <c r="F27" s="63"/>
      <c r="G27" s="63"/>
      <c r="H27" s="63"/>
    </row>
    <row r="28" spans="2:8">
      <c r="B28" s="49" t="s">
        <v>4352</v>
      </c>
      <c r="C28" s="41" t="s">
        <v>2905</v>
      </c>
      <c r="D28" s="60"/>
      <c r="E28" s="65"/>
      <c r="F28" s="56"/>
      <c r="G28" s="56"/>
      <c r="H28" s="46"/>
    </row>
    <row r="29" spans="2:8">
      <c r="B29" s="49" t="s">
        <v>3309</v>
      </c>
      <c r="C29" s="41" t="s">
        <v>2907</v>
      </c>
      <c r="D29" s="64"/>
      <c r="E29" s="48"/>
      <c r="F29" s="60"/>
      <c r="G29" s="60"/>
      <c r="H29" s="60"/>
    </row>
    <row r="30" spans="2:8">
      <c r="B30" s="49" t="s">
        <v>4393</v>
      </c>
      <c r="C30" s="41" t="s">
        <v>2909</v>
      </c>
      <c r="D30" s="64"/>
      <c r="E30" s="48"/>
      <c r="F30" s="63"/>
      <c r="G30" s="63"/>
      <c r="H30" s="60"/>
    </row>
    <row r="31" spans="2:8">
      <c r="B31" s="49" t="s">
        <v>4353</v>
      </c>
      <c r="C31" s="41" t="s">
        <v>2911</v>
      </c>
      <c r="D31" s="64"/>
      <c r="E31" s="58"/>
      <c r="F31" s="58"/>
      <c r="G31" s="48"/>
      <c r="H31" s="60"/>
    </row>
    <row r="32" spans="2:8">
      <c r="B32" s="49" t="s">
        <v>4394</v>
      </c>
      <c r="C32" s="41" t="s">
        <v>2913</v>
      </c>
      <c r="D32" s="64"/>
      <c r="E32" s="56"/>
      <c r="F32" s="56"/>
      <c r="G32" s="46"/>
      <c r="H32" s="60"/>
    </row>
    <row r="33" spans="2:8">
      <c r="B33" s="49" t="s">
        <v>4395</v>
      </c>
      <c r="C33" s="41" t="s">
        <v>2915</v>
      </c>
      <c r="D33" s="60"/>
      <c r="E33" s="60"/>
      <c r="F33" s="60"/>
      <c r="G33" s="60"/>
      <c r="H33" s="60"/>
    </row>
    <row r="34" spans="2:8" ht="30">
      <c r="B34" s="49" t="s">
        <v>4396</v>
      </c>
      <c r="C34" s="41" t="s">
        <v>2917</v>
      </c>
      <c r="D34" s="60"/>
      <c r="E34" s="60"/>
      <c r="F34" s="60"/>
      <c r="G34" s="60"/>
      <c r="H34" s="60"/>
    </row>
    <row r="35" spans="2:8">
      <c r="B35" s="49" t="s">
        <v>4397</v>
      </c>
      <c r="C35" s="41" t="s">
        <v>2919</v>
      </c>
      <c r="D35" s="60"/>
      <c r="E35" s="60"/>
      <c r="F35" s="60"/>
      <c r="G35" s="60"/>
      <c r="H35" s="60"/>
    </row>
    <row r="36" spans="2:8">
      <c r="B36" s="49" t="s">
        <v>4398</v>
      </c>
      <c r="C36" s="41" t="s">
        <v>2921</v>
      </c>
      <c r="D36" s="63"/>
      <c r="E36" s="63"/>
      <c r="F36" s="63"/>
      <c r="G36" s="63"/>
      <c r="H36" s="63"/>
    </row>
    <row r="37" spans="2:8" ht="45">
      <c r="B37" s="47" t="s">
        <v>4355</v>
      </c>
      <c r="C37" s="44" t="s">
        <v>2878</v>
      </c>
      <c r="D37" s="56"/>
      <c r="E37" s="67"/>
      <c r="F37" s="67"/>
      <c r="G37" s="67"/>
      <c r="H37" s="59"/>
    </row>
    <row r="38" spans="2:8" ht="45">
      <c r="B38" s="49" t="s">
        <v>4355</v>
      </c>
      <c r="C38" s="41" t="s">
        <v>2923</v>
      </c>
      <c r="D38" s="65"/>
      <c r="E38" s="58"/>
      <c r="F38" s="58"/>
      <c r="G38" s="58"/>
      <c r="H38" s="48"/>
    </row>
    <row r="39" spans="2:8">
      <c r="B39" s="47" t="s">
        <v>4356</v>
      </c>
      <c r="C39" s="44" t="s">
        <v>2878</v>
      </c>
      <c r="D39" s="56"/>
      <c r="E39" s="66"/>
      <c r="F39" s="66"/>
      <c r="G39" s="66"/>
      <c r="H39" s="57"/>
    </row>
    <row r="40" spans="2:8" ht="30">
      <c r="B40" s="49" t="s">
        <v>4399</v>
      </c>
      <c r="C40" s="41" t="s">
        <v>2925</v>
      </c>
      <c r="D40" s="60"/>
      <c r="E40" s="60"/>
      <c r="F40" s="60"/>
      <c r="G40" s="60"/>
      <c r="H40" s="63"/>
    </row>
    <row r="41" spans="2:8">
      <c r="B41" s="49" t="s">
        <v>4400</v>
      </c>
      <c r="C41" s="41" t="s">
        <v>2927</v>
      </c>
      <c r="D41" s="60"/>
      <c r="E41" s="60"/>
      <c r="F41" s="60"/>
      <c r="G41" s="64"/>
      <c r="H41" s="46"/>
    </row>
    <row r="42" spans="2:8">
      <c r="B42" s="49" t="s">
        <v>4401</v>
      </c>
      <c r="C42" s="41" t="s">
        <v>2929</v>
      </c>
      <c r="D42" s="60"/>
      <c r="E42" s="60"/>
      <c r="F42" s="60"/>
      <c r="G42" s="60"/>
      <c r="H42" s="60"/>
    </row>
    <row r="43" spans="2:8" ht="30">
      <c r="B43" s="49" t="s">
        <v>4402</v>
      </c>
      <c r="C43" s="41" t="s">
        <v>2931</v>
      </c>
      <c r="D43" s="60"/>
      <c r="E43" s="60"/>
      <c r="F43" s="60"/>
      <c r="G43" s="60"/>
      <c r="H43" s="60"/>
    </row>
    <row r="44" spans="2:8">
      <c r="B44" s="49" t="s">
        <v>4403</v>
      </c>
      <c r="C44" s="41" t="s">
        <v>2933</v>
      </c>
      <c r="D44" s="60"/>
      <c r="E44" s="60"/>
      <c r="F44" s="60"/>
      <c r="G44" s="60"/>
      <c r="H44" s="60"/>
    </row>
    <row r="45" spans="2:8">
      <c r="B45" s="47" t="s">
        <v>4404</v>
      </c>
      <c r="C45" s="41" t="s">
        <v>2935</v>
      </c>
      <c r="D45" s="60"/>
      <c r="E45" s="60"/>
      <c r="F45" s="60"/>
      <c r="G45" s="60"/>
      <c r="H45" s="60"/>
    </row>
    <row r="46" spans="2:8">
      <c r="B46" s="47" t="s">
        <v>4358</v>
      </c>
      <c r="C46" s="41" t="s">
        <v>2937</v>
      </c>
      <c r="D46" s="63"/>
      <c r="E46" s="63"/>
      <c r="F46" s="63"/>
      <c r="G46" s="63"/>
      <c r="H46" s="63"/>
    </row>
    <row r="47" spans="2:8">
      <c r="B47" s="47" t="s">
        <v>1232</v>
      </c>
      <c r="C47" s="44" t="s">
        <v>2878</v>
      </c>
      <c r="D47" s="56"/>
      <c r="E47" s="67"/>
      <c r="F47" s="67"/>
      <c r="G47" s="66"/>
      <c r="H47" s="59"/>
    </row>
    <row r="48" spans="2:8">
      <c r="B48" s="49" t="s">
        <v>4359</v>
      </c>
      <c r="C48" s="41" t="s">
        <v>2939</v>
      </c>
      <c r="D48" s="64"/>
      <c r="E48" s="58"/>
      <c r="F48" s="48"/>
      <c r="G48" s="64"/>
      <c r="H48" s="48"/>
    </row>
    <row r="49" spans="2:8" ht="30">
      <c r="B49" s="49" t="s">
        <v>4360</v>
      </c>
      <c r="C49" s="41" t="s">
        <v>2941</v>
      </c>
      <c r="D49" s="64"/>
      <c r="E49" s="58"/>
      <c r="F49" s="48"/>
      <c r="G49" s="64"/>
      <c r="H49" s="46"/>
    </row>
    <row r="50" spans="2:8">
      <c r="B50" s="49" t="s">
        <v>4361</v>
      </c>
      <c r="C50" s="41" t="s">
        <v>2943</v>
      </c>
      <c r="D50" s="64"/>
      <c r="E50" s="58"/>
      <c r="F50" s="48"/>
      <c r="G50" s="60"/>
      <c r="H50" s="60"/>
    </row>
    <row r="51" spans="2:8" ht="30">
      <c r="B51" s="49" t="s">
        <v>4362</v>
      </c>
      <c r="C51" s="41" t="s">
        <v>2945</v>
      </c>
      <c r="D51" s="64"/>
      <c r="E51" s="58"/>
      <c r="F51" s="48"/>
      <c r="G51" s="60"/>
      <c r="H51" s="63"/>
    </row>
    <row r="52" spans="2:8">
      <c r="B52" s="49" t="s">
        <v>4363</v>
      </c>
      <c r="C52" s="41" t="s">
        <v>2947</v>
      </c>
      <c r="D52" s="64"/>
      <c r="E52" s="58"/>
      <c r="F52" s="48"/>
      <c r="G52" s="64"/>
      <c r="H52" s="46"/>
    </row>
    <row r="53" spans="2:8" ht="30">
      <c r="B53" s="49" t="s">
        <v>4364</v>
      </c>
      <c r="C53" s="41" t="s">
        <v>2949</v>
      </c>
      <c r="D53" s="64"/>
      <c r="E53" s="58"/>
      <c r="F53" s="48"/>
      <c r="G53" s="60"/>
      <c r="H53" s="63"/>
    </row>
    <row r="54" spans="2:8" ht="30">
      <c r="B54" s="49" t="s">
        <v>4365</v>
      </c>
      <c r="C54" s="41" t="s">
        <v>2951</v>
      </c>
      <c r="D54" s="64"/>
      <c r="E54" s="58"/>
      <c r="F54" s="48"/>
      <c r="G54" s="64"/>
      <c r="H54" s="46"/>
    </row>
    <row r="55" spans="2:8" ht="30">
      <c r="B55" s="49" t="s">
        <v>4366</v>
      </c>
      <c r="C55" s="41" t="s">
        <v>2953</v>
      </c>
      <c r="D55" s="64"/>
      <c r="E55" s="58"/>
      <c r="F55" s="48"/>
      <c r="G55" s="60"/>
      <c r="H55" s="60"/>
    </row>
    <row r="56" spans="2:8">
      <c r="B56" s="49" t="s">
        <v>4405</v>
      </c>
      <c r="C56" s="41" t="s">
        <v>2955</v>
      </c>
      <c r="D56" s="64"/>
      <c r="E56" s="58"/>
      <c r="F56" s="48"/>
      <c r="G56" s="60"/>
      <c r="H56" s="60"/>
    </row>
    <row r="57" spans="2:8">
      <c r="B57" s="49" t="s">
        <v>4367</v>
      </c>
      <c r="C57" s="41" t="s">
        <v>2957</v>
      </c>
      <c r="D57" s="64"/>
      <c r="E57" s="58"/>
      <c r="F57" s="48"/>
      <c r="G57" s="60"/>
      <c r="H57" s="60"/>
    </row>
    <row r="58" spans="2:8">
      <c r="B58" s="47" t="s">
        <v>4368</v>
      </c>
      <c r="C58" s="41" t="s">
        <v>2959</v>
      </c>
      <c r="D58" s="65"/>
      <c r="E58" s="58"/>
      <c r="F58" s="48"/>
      <c r="G58" s="63"/>
      <c r="H58" s="63"/>
    </row>
    <row r="59" spans="2:8">
      <c r="B59" s="47" t="s">
        <v>4406</v>
      </c>
      <c r="C59" s="44" t="s">
        <v>2878</v>
      </c>
      <c r="D59" s="56"/>
      <c r="E59" s="66"/>
      <c r="F59" s="66"/>
      <c r="G59" s="66"/>
      <c r="H59" s="59"/>
    </row>
    <row r="60" spans="2:8" ht="30">
      <c r="B60" s="49" t="s">
        <v>4407</v>
      </c>
      <c r="C60" s="41" t="s">
        <v>2961</v>
      </c>
      <c r="D60" s="60"/>
      <c r="E60" s="60"/>
      <c r="F60" s="60"/>
      <c r="G60" s="64"/>
      <c r="H60" s="46"/>
    </row>
    <row r="61" spans="2:8">
      <c r="B61" s="49" t="s">
        <v>2772</v>
      </c>
      <c r="C61" s="41" t="s">
        <v>2963</v>
      </c>
      <c r="D61" s="60"/>
      <c r="E61" s="60"/>
      <c r="F61" s="60"/>
      <c r="G61" s="60"/>
      <c r="H61" s="63"/>
    </row>
    <row r="62" spans="2:8">
      <c r="B62" s="49" t="s">
        <v>4408</v>
      </c>
      <c r="C62" s="41" t="s">
        <v>2965</v>
      </c>
      <c r="D62" s="60"/>
      <c r="E62" s="60"/>
      <c r="F62" s="60"/>
      <c r="G62" s="64"/>
      <c r="H62" s="46"/>
    </row>
    <row r="63" spans="2:8">
      <c r="B63" s="49" t="s">
        <v>4409</v>
      </c>
      <c r="C63" s="41" t="s">
        <v>2967</v>
      </c>
      <c r="D63" s="63"/>
      <c r="E63" s="63"/>
      <c r="F63" s="63"/>
      <c r="G63" s="63"/>
      <c r="H63" s="63"/>
    </row>
    <row r="64" spans="2:8">
      <c r="B64" s="47" t="s">
        <v>4410</v>
      </c>
      <c r="C64" s="44" t="s">
        <v>2878</v>
      </c>
      <c r="D64" s="56"/>
      <c r="E64" s="66"/>
      <c r="F64" s="66"/>
      <c r="G64" s="66"/>
      <c r="H64" s="57"/>
    </row>
    <row r="65" spans="2:14">
      <c r="B65" s="49" t="s">
        <v>4411</v>
      </c>
      <c r="C65" s="41" t="s">
        <v>2969</v>
      </c>
      <c r="D65" s="60"/>
      <c r="E65" s="60"/>
      <c r="F65" s="60"/>
      <c r="G65" s="60"/>
      <c r="H65" s="60"/>
    </row>
    <row r="66" spans="2:14">
      <c r="B66" s="49" t="s">
        <v>4412</v>
      </c>
      <c r="C66" s="41" t="s">
        <v>2971</v>
      </c>
      <c r="D66" s="60"/>
      <c r="E66" s="60"/>
      <c r="F66" s="60"/>
      <c r="G66" s="60"/>
      <c r="H66" s="60"/>
    </row>
    <row r="67" spans="2:14" ht="30">
      <c r="B67" s="49" t="s">
        <v>4413</v>
      </c>
      <c r="C67" s="41" t="s">
        <v>2981</v>
      </c>
      <c r="D67" s="60"/>
      <c r="E67" s="60"/>
      <c r="F67" s="60"/>
      <c r="G67" s="60"/>
      <c r="H67" s="63"/>
    </row>
    <row r="68" spans="2:14">
      <c r="B68" s="49" t="s">
        <v>4414</v>
      </c>
      <c r="C68" s="41" t="s">
        <v>2983</v>
      </c>
      <c r="D68" s="60"/>
      <c r="E68" s="60"/>
      <c r="F68" s="60"/>
      <c r="G68" s="64"/>
      <c r="H68" s="46"/>
    </row>
    <row r="69" spans="2:14" ht="30">
      <c r="B69" s="49" t="s">
        <v>4415</v>
      </c>
      <c r="C69" s="41" t="s">
        <v>2989</v>
      </c>
      <c r="D69" s="60"/>
      <c r="E69" s="60"/>
      <c r="F69" s="60"/>
      <c r="G69" s="60"/>
      <c r="H69" s="63"/>
    </row>
    <row r="70" spans="2:14">
      <c r="B70" s="49" t="s">
        <v>4416</v>
      </c>
      <c r="C70" s="41" t="s">
        <v>2991</v>
      </c>
      <c r="D70" s="60"/>
      <c r="E70" s="63"/>
      <c r="F70" s="63"/>
      <c r="G70" s="65"/>
      <c r="H70" s="48"/>
    </row>
    <row r="71" spans="2:14">
      <c r="B71" s="47" t="s">
        <v>4418</v>
      </c>
      <c r="C71" s="41" t="s">
        <v>2999</v>
      </c>
      <c r="D71" s="64"/>
      <c r="E71" s="58"/>
      <c r="F71" s="58"/>
      <c r="G71" s="58"/>
      <c r="H71" s="48"/>
    </row>
    <row r="72" spans="2:14">
      <c r="B72" s="47" t="s">
        <v>4420</v>
      </c>
      <c r="C72" s="41" t="s">
        <v>3007</v>
      </c>
      <c r="D72" s="71"/>
      <c r="E72" s="56"/>
      <c r="F72" s="56"/>
      <c r="G72" s="56"/>
      <c r="H72" s="46"/>
    </row>
    <row r="73" spans="2:14" ht="30">
      <c r="B73" s="47" t="s">
        <v>4431</v>
      </c>
      <c r="C73" s="41" t="s">
        <v>3009</v>
      </c>
      <c r="D73" s="60"/>
      <c r="E73" s="63"/>
      <c r="F73" s="63"/>
      <c r="G73" s="63"/>
      <c r="H73" s="63"/>
    </row>
    <row r="74" spans="2:14">
      <c r="B74" s="47" t="s">
        <v>4423</v>
      </c>
      <c r="C74" s="41" t="s">
        <v>3013</v>
      </c>
      <c r="D74" s="64"/>
      <c r="E74" s="58"/>
      <c r="F74" s="58"/>
      <c r="G74" s="58"/>
      <c r="H74" s="48"/>
    </row>
    <row r="75" spans="2:14" ht="30">
      <c r="B75" s="47" t="s">
        <v>4424</v>
      </c>
      <c r="C75" s="41" t="s">
        <v>3015</v>
      </c>
      <c r="D75" s="71"/>
      <c r="E75" s="56"/>
      <c r="F75" s="56"/>
      <c r="G75" s="56"/>
      <c r="H75" s="46"/>
    </row>
    <row r="77" spans="2:14">
      <c r="M77" s="13" t="str">
        <f>Show!$B$106&amp;Show!$B$106&amp;"S.23.01.22.01 Rows {"&amp;COLUMN($C$1)&amp;"}"</f>
        <v>!!S.23.01.22.01 Rows {3}</v>
      </c>
      <c r="N77" s="13" t="str">
        <f>Show!$B$106&amp;Show!$B$106&amp;"S.23.01.22.01 Columns {"&amp;COLUMN($H$1)&amp;"}"</f>
        <v>!!S.23.01.22.01 Columns {8}</v>
      </c>
    </row>
    <row r="79" spans="2:14" ht="18.75">
      <c r="B79" s="88" t="s">
        <v>4432</v>
      </c>
      <c r="C79" s="87"/>
      <c r="D79" s="87"/>
      <c r="E79" s="87"/>
      <c r="F79" s="87"/>
      <c r="G79" s="87"/>
      <c r="H79" s="87"/>
      <c r="I79" s="87"/>
      <c r="J79" s="87"/>
      <c r="K79" s="87"/>
      <c r="L79" s="87"/>
    </row>
    <row r="83" spans="2:14">
      <c r="D83" s="89" t="s">
        <v>2877</v>
      </c>
    </row>
    <row r="84" spans="2:14">
      <c r="D84" s="90"/>
    </row>
    <row r="85" spans="2:14">
      <c r="D85" s="90"/>
    </row>
    <row r="86" spans="2:14">
      <c r="D86" s="91"/>
    </row>
    <row r="87" spans="2:14">
      <c r="D87" s="45" t="s">
        <v>3231</v>
      </c>
      <c r="M87" s="13" t="str">
        <f>Show!$B$106&amp;"S.23.01.22.02 Rows {"&amp;COLUMN($C$1)&amp;"}"&amp;"@ForceFilingCode:true"</f>
        <v>!S.23.01.22.02 Rows {3}@ForceFilingCode:true</v>
      </c>
      <c r="N87" s="13" t="str">
        <f>Show!$B$106&amp;"S.23.01.22.02 Columns {"&amp;COLUMN($D$1)&amp;"}"</f>
        <v>!S.23.01.22.02 Columns {4}</v>
      </c>
    </row>
    <row r="88" spans="2:14">
      <c r="B88" s="43" t="s">
        <v>2880</v>
      </c>
      <c r="C88" s="44" t="s">
        <v>2878</v>
      </c>
      <c r="D88" s="48"/>
    </row>
    <row r="89" spans="2:14">
      <c r="B89" s="47" t="s">
        <v>4352</v>
      </c>
      <c r="C89" s="44" t="s">
        <v>2878</v>
      </c>
      <c r="D89" s="46"/>
    </row>
    <row r="90" spans="2:14">
      <c r="B90" s="49" t="s">
        <v>3314</v>
      </c>
      <c r="C90" s="41" t="s">
        <v>3064</v>
      </c>
      <c r="D90" s="60"/>
    </row>
    <row r="91" spans="2:14">
      <c r="B91" s="49" t="s">
        <v>4378</v>
      </c>
      <c r="C91" s="41" t="s">
        <v>3066</v>
      </c>
      <c r="D91" s="60"/>
    </row>
    <row r="92" spans="2:14">
      <c r="B92" s="49" t="s">
        <v>4379</v>
      </c>
      <c r="C92" s="41" t="s">
        <v>3068</v>
      </c>
      <c r="D92" s="60"/>
    </row>
    <row r="93" spans="2:14">
      <c r="B93" s="49" t="s">
        <v>4380</v>
      </c>
      <c r="C93" s="41" t="s">
        <v>3070</v>
      </c>
      <c r="D93" s="60"/>
    </row>
    <row r="94" spans="2:14" ht="30">
      <c r="B94" s="49" t="s">
        <v>4381</v>
      </c>
      <c r="C94" s="41" t="s">
        <v>3017</v>
      </c>
      <c r="D94" s="60"/>
    </row>
    <row r="95" spans="2:14">
      <c r="B95" s="49" t="s">
        <v>4426</v>
      </c>
      <c r="C95" s="41" t="s">
        <v>3019</v>
      </c>
      <c r="D95" s="60"/>
    </row>
    <row r="96" spans="2:14">
      <c r="B96" s="47" t="s">
        <v>4352</v>
      </c>
      <c r="C96" s="41" t="s">
        <v>3021</v>
      </c>
      <c r="D96" s="63"/>
    </row>
    <row r="97" spans="2:14">
      <c r="B97" s="47" t="s">
        <v>4382</v>
      </c>
      <c r="C97" s="44" t="s">
        <v>2878</v>
      </c>
      <c r="D97" s="46"/>
    </row>
    <row r="98" spans="2:14">
      <c r="B98" s="49" t="s">
        <v>4383</v>
      </c>
      <c r="C98" s="41" t="s">
        <v>3023</v>
      </c>
      <c r="D98" s="60"/>
    </row>
    <row r="99" spans="2:14">
      <c r="B99" s="49" t="s">
        <v>4384</v>
      </c>
      <c r="C99" s="41" t="s">
        <v>3072</v>
      </c>
      <c r="D99" s="60"/>
    </row>
    <row r="100" spans="2:14">
      <c r="B100" s="47" t="s">
        <v>4385</v>
      </c>
      <c r="C100" s="41" t="s">
        <v>3118</v>
      </c>
      <c r="D100" s="60"/>
    </row>
    <row r="102" spans="2:14">
      <c r="M102" s="13" t="str">
        <f>Show!$B$106&amp;Show!$B$106&amp;"S.23.01.22.02 Rows {"&amp;COLUMN($C$1)&amp;"}"</f>
        <v>!!S.23.01.22.02 Rows {3}</v>
      </c>
      <c r="N102" s="13" t="str">
        <f>Show!$B$106&amp;Show!$B$106&amp;"S.23.01.22.02 Columns {"&amp;COLUMN($D$1)&amp;"}"</f>
        <v>!!S.23.01.22.02 Columns {4}</v>
      </c>
    </row>
  </sheetData>
  <sheetProtection sheet="1" objects="1" scenarios="1"/>
  <mergeCells count="10">
    <mergeCell ref="B79:L79"/>
    <mergeCell ref="D83:D86"/>
    <mergeCell ref="B2:O2"/>
    <mergeCell ref="B5:L5"/>
    <mergeCell ref="D9:H10"/>
    <mergeCell ref="D11:D12"/>
    <mergeCell ref="E11:E12"/>
    <mergeCell ref="F11:F12"/>
    <mergeCell ref="G11:G12"/>
    <mergeCell ref="H11:H12"/>
  </mergeCells>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EEF9A-F641-4CD7-92A1-41EDC13F0D64}">
  <sheetPr codeName="Blad111"/>
  <dimension ref="B2:Q91"/>
  <sheetViews>
    <sheetView showGridLines="0" workbookViewId="0"/>
  </sheetViews>
  <sheetFormatPr defaultRowHeight="15"/>
  <cols>
    <col min="2" max="2" width="83.7109375" bestFit="1" customWidth="1"/>
    <col min="4" max="4" width="40.7109375" customWidth="1"/>
    <col min="5" max="9" width="15.7109375" customWidth="1"/>
  </cols>
  <sheetData>
    <row r="2" spans="2:17" ht="23.25">
      <c r="B2" s="86" t="s">
        <v>674</v>
      </c>
      <c r="C2" s="87"/>
      <c r="D2" s="87"/>
      <c r="E2" s="87"/>
      <c r="F2" s="87"/>
      <c r="G2" s="87"/>
      <c r="H2" s="87"/>
      <c r="I2" s="87"/>
      <c r="J2" s="87"/>
      <c r="K2" s="87"/>
      <c r="L2" s="87"/>
      <c r="M2" s="87"/>
      <c r="N2" s="87"/>
      <c r="O2" s="87"/>
    </row>
    <row r="5" spans="2:17" ht="18.75">
      <c r="B5" s="88" t="s">
        <v>4433</v>
      </c>
      <c r="C5" s="87"/>
      <c r="D5" s="87"/>
      <c r="E5" s="87"/>
      <c r="F5" s="87"/>
      <c r="G5" s="87"/>
      <c r="H5" s="87"/>
      <c r="I5" s="87"/>
      <c r="J5" s="87"/>
      <c r="K5" s="87"/>
      <c r="L5" s="87"/>
    </row>
    <row r="9" spans="2:17">
      <c r="D9" s="92" t="s">
        <v>2877</v>
      </c>
      <c r="E9" s="93"/>
      <c r="F9" s="93"/>
      <c r="G9" s="93"/>
      <c r="H9" s="93"/>
      <c r="I9" s="94"/>
    </row>
    <row r="10" spans="2:17">
      <c r="D10" s="95"/>
      <c r="E10" s="96"/>
      <c r="F10" s="96"/>
      <c r="G10" s="96"/>
      <c r="H10" s="96"/>
      <c r="I10" s="97"/>
    </row>
    <row r="11" spans="2:17">
      <c r="D11" s="89" t="s">
        <v>3480</v>
      </c>
      <c r="E11" s="92" t="s">
        <v>2545</v>
      </c>
      <c r="F11" s="99"/>
      <c r="G11" s="92" t="s">
        <v>2548</v>
      </c>
      <c r="H11" s="99"/>
      <c r="I11" s="89" t="s">
        <v>2549</v>
      </c>
    </row>
    <row r="12" spans="2:17" ht="45">
      <c r="D12" s="91"/>
      <c r="E12" s="77"/>
      <c r="F12" s="55" t="s">
        <v>4434</v>
      </c>
      <c r="G12" s="77"/>
      <c r="H12" s="55" t="s">
        <v>4434</v>
      </c>
      <c r="I12" s="91"/>
    </row>
    <row r="13" spans="2:17">
      <c r="D13" s="45" t="s">
        <v>2879</v>
      </c>
      <c r="E13" s="45" t="s">
        <v>3219</v>
      </c>
      <c r="F13" s="45" t="s">
        <v>3225</v>
      </c>
      <c r="G13" s="45" t="s">
        <v>3223</v>
      </c>
      <c r="H13" s="45" t="s">
        <v>3229</v>
      </c>
      <c r="I13" s="45" t="s">
        <v>3231</v>
      </c>
      <c r="P13" s="13" t="str">
        <f>Show!$B$107&amp;"S.23.02.01.01 Rows {"&amp;COLUMN($C$1)&amp;"}"&amp;"@ForceFilingCode:true"</f>
        <v>!S.23.02.01.01 Rows {3}@ForceFilingCode:true</v>
      </c>
      <c r="Q13" s="13" t="str">
        <f>Show!$B$107&amp;"S.23.02.01.01 Columns {"&amp;COLUMN($D$1)&amp;"}"</f>
        <v>!S.23.02.01.01 Columns {4}</v>
      </c>
    </row>
    <row r="14" spans="2:17">
      <c r="B14" s="43" t="s">
        <v>2880</v>
      </c>
      <c r="C14" s="44" t="s">
        <v>2878</v>
      </c>
      <c r="D14" s="58"/>
      <c r="E14" s="67"/>
      <c r="F14" s="67"/>
      <c r="G14" s="67"/>
      <c r="H14" s="67"/>
      <c r="I14" s="59"/>
    </row>
    <row r="15" spans="2:17">
      <c r="B15" s="47" t="s">
        <v>4435</v>
      </c>
      <c r="C15" s="44" t="s">
        <v>2878</v>
      </c>
      <c r="D15" s="56"/>
      <c r="E15" s="66"/>
      <c r="F15" s="67"/>
      <c r="G15" s="67"/>
      <c r="H15" s="67"/>
      <c r="I15" s="59"/>
    </row>
    <row r="16" spans="2:17">
      <c r="B16" s="49" t="s">
        <v>4436</v>
      </c>
      <c r="C16" s="41" t="s">
        <v>2883</v>
      </c>
      <c r="D16" s="60"/>
      <c r="E16" s="65"/>
      <c r="F16" s="58"/>
      <c r="G16" s="56"/>
      <c r="H16" s="58"/>
      <c r="I16" s="48"/>
    </row>
    <row r="17" spans="2:9">
      <c r="B17" s="49" t="s">
        <v>4437</v>
      </c>
      <c r="C17" s="41" t="s">
        <v>2885</v>
      </c>
      <c r="D17" s="64"/>
      <c r="E17" s="56"/>
      <c r="F17" s="48"/>
      <c r="G17" s="65"/>
      <c r="H17" s="58"/>
      <c r="I17" s="48"/>
    </row>
    <row r="18" spans="2:9">
      <c r="B18" s="49" t="s">
        <v>4438</v>
      </c>
      <c r="C18" s="41" t="s">
        <v>2887</v>
      </c>
      <c r="D18" s="60"/>
      <c r="E18" s="64"/>
      <c r="F18" s="58"/>
      <c r="G18" s="56"/>
      <c r="H18" s="58"/>
      <c r="I18" s="48"/>
    </row>
    <row r="19" spans="2:9">
      <c r="B19" s="47" t="s">
        <v>4439</v>
      </c>
      <c r="C19" s="41" t="s">
        <v>2899</v>
      </c>
      <c r="D19" s="63"/>
      <c r="E19" s="65"/>
      <c r="F19" s="48"/>
      <c r="G19" s="65"/>
      <c r="H19" s="58"/>
      <c r="I19" s="48"/>
    </row>
    <row r="20" spans="2:9" ht="30">
      <c r="B20" s="47" t="s">
        <v>4440</v>
      </c>
      <c r="C20" s="44" t="s">
        <v>2878</v>
      </c>
      <c r="D20" s="56"/>
      <c r="E20" s="66"/>
      <c r="F20" s="67"/>
      <c r="G20" s="67"/>
      <c r="H20" s="67"/>
      <c r="I20" s="59"/>
    </row>
    <row r="21" spans="2:9">
      <c r="B21" s="49" t="s">
        <v>4436</v>
      </c>
      <c r="C21" s="41" t="s">
        <v>2901</v>
      </c>
      <c r="D21" s="60"/>
      <c r="E21" s="65"/>
      <c r="F21" s="58"/>
      <c r="G21" s="56"/>
      <c r="H21" s="58"/>
      <c r="I21" s="48"/>
    </row>
    <row r="22" spans="2:9">
      <c r="B22" s="49" t="s">
        <v>4437</v>
      </c>
      <c r="C22" s="41" t="s">
        <v>2903</v>
      </c>
      <c r="D22" s="64"/>
      <c r="E22" s="56"/>
      <c r="F22" s="48"/>
      <c r="G22" s="64"/>
      <c r="H22" s="58"/>
      <c r="I22" s="48"/>
    </row>
    <row r="23" spans="2:9" ht="30">
      <c r="B23" s="47" t="s">
        <v>4441</v>
      </c>
      <c r="C23" s="41" t="s">
        <v>2919</v>
      </c>
      <c r="D23" s="63"/>
      <c r="E23" s="65"/>
      <c r="F23" s="48"/>
      <c r="G23" s="65"/>
      <c r="H23" s="58"/>
      <c r="I23" s="48"/>
    </row>
    <row r="24" spans="2:9">
      <c r="B24" s="47" t="s">
        <v>4442</v>
      </c>
      <c r="C24" s="44" t="s">
        <v>2878</v>
      </c>
      <c r="D24" s="56"/>
      <c r="E24" s="66"/>
      <c r="F24" s="66"/>
      <c r="G24" s="66"/>
      <c r="H24" s="66"/>
      <c r="I24" s="57"/>
    </row>
    <row r="25" spans="2:9">
      <c r="B25" s="49" t="s">
        <v>4443</v>
      </c>
      <c r="C25" s="41" t="s">
        <v>2921</v>
      </c>
      <c r="D25" s="60"/>
      <c r="E25" s="60"/>
      <c r="F25" s="60"/>
      <c r="G25" s="60"/>
      <c r="H25" s="60"/>
      <c r="I25" s="60"/>
    </row>
    <row r="26" spans="2:9">
      <c r="B26" s="49" t="s">
        <v>4444</v>
      </c>
      <c r="C26" s="41" t="s">
        <v>2923</v>
      </c>
      <c r="D26" s="60"/>
      <c r="E26" s="60"/>
      <c r="F26" s="60"/>
      <c r="G26" s="60"/>
      <c r="H26" s="60"/>
      <c r="I26" s="60"/>
    </row>
    <row r="27" spans="2:9">
      <c r="B27" s="49" t="s">
        <v>4445</v>
      </c>
      <c r="C27" s="41" t="s">
        <v>2925</v>
      </c>
      <c r="D27" s="60"/>
      <c r="E27" s="60"/>
      <c r="F27" s="60"/>
      <c r="G27" s="60"/>
      <c r="H27" s="60"/>
      <c r="I27" s="60"/>
    </row>
    <row r="28" spans="2:9">
      <c r="B28" s="47" t="s">
        <v>4446</v>
      </c>
      <c r="C28" s="41" t="s">
        <v>2939</v>
      </c>
      <c r="D28" s="63"/>
      <c r="E28" s="63"/>
      <c r="F28" s="63"/>
      <c r="G28" s="63"/>
      <c r="H28" s="63"/>
      <c r="I28" s="63"/>
    </row>
    <row r="29" spans="2:9">
      <c r="B29" s="47" t="s">
        <v>4350</v>
      </c>
      <c r="C29" s="44" t="s">
        <v>2878</v>
      </c>
      <c r="D29" s="56"/>
      <c r="E29" s="66"/>
      <c r="F29" s="66"/>
      <c r="G29" s="66"/>
      <c r="H29" s="66"/>
      <c r="I29" s="57"/>
    </row>
    <row r="30" spans="2:9">
      <c r="B30" s="49" t="s">
        <v>4447</v>
      </c>
      <c r="C30" s="41" t="s">
        <v>2941</v>
      </c>
      <c r="D30" s="60"/>
      <c r="E30" s="60"/>
      <c r="F30" s="60"/>
      <c r="G30" s="60"/>
      <c r="H30" s="60"/>
      <c r="I30" s="60"/>
    </row>
    <row r="31" spans="2:9">
      <c r="B31" s="49" t="s">
        <v>4448</v>
      </c>
      <c r="C31" s="41" t="s">
        <v>2943</v>
      </c>
      <c r="D31" s="60"/>
      <c r="E31" s="60"/>
      <c r="F31" s="60"/>
      <c r="G31" s="60"/>
      <c r="H31" s="60"/>
      <c r="I31" s="60"/>
    </row>
    <row r="32" spans="2:9">
      <c r="B32" s="49" t="s">
        <v>4449</v>
      </c>
      <c r="C32" s="41" t="s">
        <v>2945</v>
      </c>
      <c r="D32" s="60"/>
      <c r="E32" s="60"/>
      <c r="F32" s="60"/>
      <c r="G32" s="60"/>
      <c r="H32" s="60"/>
      <c r="I32" s="60"/>
    </row>
    <row r="33" spans="2:17">
      <c r="B33" s="47" t="s">
        <v>4450</v>
      </c>
      <c r="C33" s="41" t="s">
        <v>2959</v>
      </c>
      <c r="D33" s="63"/>
      <c r="E33" s="63"/>
      <c r="F33" s="63"/>
      <c r="G33" s="63"/>
      <c r="H33" s="63"/>
      <c r="I33" s="63"/>
    </row>
    <row r="34" spans="2:17">
      <c r="B34" s="47" t="s">
        <v>3309</v>
      </c>
      <c r="C34" s="44" t="s">
        <v>2878</v>
      </c>
      <c r="D34" s="56"/>
      <c r="E34" s="66"/>
      <c r="F34" s="66"/>
      <c r="G34" s="66"/>
      <c r="H34" s="66"/>
      <c r="I34" s="57"/>
    </row>
    <row r="35" spans="2:17">
      <c r="B35" s="49" t="s">
        <v>4451</v>
      </c>
      <c r="C35" s="41" t="s">
        <v>2961</v>
      </c>
      <c r="D35" s="60"/>
      <c r="E35" s="60"/>
      <c r="F35" s="60"/>
      <c r="G35" s="60"/>
      <c r="H35" s="60"/>
      <c r="I35" s="60"/>
    </row>
    <row r="36" spans="2:17">
      <c r="B36" s="49" t="s">
        <v>4452</v>
      </c>
      <c r="C36" s="41" t="s">
        <v>2963</v>
      </c>
      <c r="D36" s="60"/>
      <c r="E36" s="60"/>
      <c r="F36" s="60"/>
      <c r="G36" s="60"/>
      <c r="H36" s="60"/>
      <c r="I36" s="60"/>
    </row>
    <row r="37" spans="2:17">
      <c r="B37" s="49" t="s">
        <v>4453</v>
      </c>
      <c r="C37" s="41" t="s">
        <v>2965</v>
      </c>
      <c r="D37" s="60"/>
      <c r="E37" s="60"/>
      <c r="F37" s="60"/>
      <c r="G37" s="60"/>
      <c r="H37" s="60"/>
      <c r="I37" s="60"/>
    </row>
    <row r="38" spans="2:17">
      <c r="B38" s="47" t="s">
        <v>4454</v>
      </c>
      <c r="C38" s="41" t="s">
        <v>2977</v>
      </c>
      <c r="D38" s="60"/>
      <c r="E38" s="60"/>
      <c r="F38" s="60"/>
      <c r="G38" s="60"/>
      <c r="H38" s="60"/>
      <c r="I38" s="60"/>
    </row>
    <row r="40" spans="2:17">
      <c r="P40" s="13" t="str">
        <f>Show!$B$107&amp;Show!$B$107&amp;"S.23.02.01.01 Rows {"&amp;COLUMN($C$1)&amp;"}"</f>
        <v>!!S.23.02.01.01 Rows {3}</v>
      </c>
      <c r="Q40" s="13" t="str">
        <f>Show!$B$107&amp;Show!$B$107&amp;"S.23.02.01.01 Columns {"&amp;COLUMN($I$1)&amp;"}"</f>
        <v>!!S.23.02.01.01 Columns {9}</v>
      </c>
    </row>
    <row r="42" spans="2:17" ht="18.75">
      <c r="B42" s="88" t="s">
        <v>4455</v>
      </c>
      <c r="C42" s="87"/>
      <c r="D42" s="87"/>
      <c r="E42" s="87"/>
      <c r="F42" s="87"/>
      <c r="G42" s="87"/>
      <c r="H42" s="87"/>
      <c r="I42" s="87"/>
      <c r="J42" s="87"/>
      <c r="K42" s="87"/>
      <c r="L42" s="87"/>
    </row>
    <row r="46" spans="2:17">
      <c r="D46" s="92" t="s">
        <v>2877</v>
      </c>
      <c r="E46" s="93"/>
      <c r="F46" s="93"/>
      <c r="G46" s="94"/>
    </row>
    <row r="47" spans="2:17">
      <c r="D47" s="95"/>
      <c r="E47" s="96"/>
      <c r="F47" s="96"/>
      <c r="G47" s="97"/>
    </row>
    <row r="48" spans="2:17">
      <c r="D48" s="98" t="s">
        <v>2548</v>
      </c>
      <c r="E48" s="99"/>
      <c r="F48" s="98" t="s">
        <v>2549</v>
      </c>
      <c r="G48" s="99"/>
    </row>
    <row r="49" spans="2:17" ht="30">
      <c r="D49" s="55" t="s">
        <v>4456</v>
      </c>
      <c r="E49" s="55" t="s">
        <v>4457</v>
      </c>
      <c r="F49" s="55" t="s">
        <v>4456</v>
      </c>
      <c r="G49" s="55" t="s">
        <v>4457</v>
      </c>
    </row>
    <row r="50" spans="2:17">
      <c r="D50" s="45" t="s">
        <v>3233</v>
      </c>
      <c r="E50" s="45" t="s">
        <v>3234</v>
      </c>
      <c r="F50" s="45" t="s">
        <v>3236</v>
      </c>
      <c r="G50" s="45" t="s">
        <v>3239</v>
      </c>
      <c r="P50" s="13" t="str">
        <f>Show!$B$107&amp;"S.23.02.01.02 Rows {"&amp;COLUMN($C$1)&amp;"}"&amp;"@ForceFilingCode:true"</f>
        <v>!S.23.02.01.02 Rows {3}@ForceFilingCode:true</v>
      </c>
      <c r="Q50" s="13" t="str">
        <f>Show!$B$107&amp;"S.23.02.01.02 Columns {"&amp;COLUMN($D$1)&amp;"}"</f>
        <v>!S.23.02.01.02 Columns {4}</v>
      </c>
    </row>
    <row r="51" spans="2:17">
      <c r="B51" s="43" t="s">
        <v>2880</v>
      </c>
      <c r="C51" s="44" t="s">
        <v>2878</v>
      </c>
      <c r="D51" s="58"/>
      <c r="E51" s="67"/>
      <c r="F51" s="67"/>
      <c r="G51" s="59"/>
    </row>
    <row r="52" spans="2:17">
      <c r="B52" s="47" t="s">
        <v>1232</v>
      </c>
      <c r="C52" s="44" t="s">
        <v>2878</v>
      </c>
      <c r="D52" s="56"/>
      <c r="E52" s="66"/>
      <c r="F52" s="66"/>
      <c r="G52" s="57"/>
    </row>
    <row r="53" spans="2:17">
      <c r="B53" s="49" t="s">
        <v>4458</v>
      </c>
      <c r="C53" s="41" t="s">
        <v>2979</v>
      </c>
      <c r="D53" s="63"/>
      <c r="E53" s="60"/>
      <c r="F53" s="63"/>
      <c r="G53" s="60"/>
    </row>
    <row r="54" spans="2:17">
      <c r="B54" s="49" t="s">
        <v>4459</v>
      </c>
      <c r="C54" s="44" t="s">
        <v>2981</v>
      </c>
      <c r="D54" s="46"/>
      <c r="E54" s="64"/>
      <c r="F54" s="46"/>
      <c r="G54" s="60"/>
    </row>
    <row r="56" spans="2:17">
      <c r="P56" s="13" t="str">
        <f>Show!$B$107&amp;Show!$B$107&amp;"S.23.02.01.02 Rows {"&amp;COLUMN($C$1)&amp;"}"</f>
        <v>!!S.23.02.01.02 Rows {3}</v>
      </c>
      <c r="Q56" s="13" t="str">
        <f>Show!$B$107&amp;Show!$B$107&amp;"S.23.02.01.02 Columns {"&amp;COLUMN($G$1)&amp;"}"</f>
        <v>!!S.23.02.01.02 Columns {7}</v>
      </c>
    </row>
    <row r="58" spans="2:17" ht="18.75">
      <c r="B58" s="88" t="s">
        <v>4460</v>
      </c>
      <c r="C58" s="87"/>
      <c r="D58" s="87"/>
      <c r="E58" s="87"/>
      <c r="F58" s="87"/>
      <c r="G58" s="87"/>
      <c r="H58" s="87"/>
      <c r="I58" s="87"/>
      <c r="J58" s="87"/>
      <c r="K58" s="87"/>
      <c r="L58" s="87"/>
    </row>
    <row r="62" spans="2:17">
      <c r="D62" s="89" t="s">
        <v>2877</v>
      </c>
    </row>
    <row r="63" spans="2:17">
      <c r="D63" s="91"/>
    </row>
    <row r="64" spans="2:17">
      <c r="D64" s="89" t="s">
        <v>3480</v>
      </c>
    </row>
    <row r="65" spans="2:17">
      <c r="D65" s="91"/>
    </row>
    <row r="66" spans="2:17">
      <c r="D66" s="45" t="s">
        <v>3241</v>
      </c>
      <c r="P66" s="13" t="str">
        <f>Show!$B$107&amp;"S.23.02.01.03 Rows {"&amp;COLUMN($C$1)&amp;"}"&amp;"@ForceFilingCode:true"</f>
        <v>!S.23.02.01.03 Rows {3}@ForceFilingCode:true</v>
      </c>
      <c r="Q66" s="13" t="str">
        <f>Show!$B$107&amp;"S.23.02.01.03 Columns {"&amp;COLUMN($D$1)&amp;"}"</f>
        <v>!S.23.02.01.03 Columns {4}</v>
      </c>
    </row>
    <row r="67" spans="2:17">
      <c r="B67" s="43" t="s">
        <v>2880</v>
      </c>
      <c r="C67" s="44" t="s">
        <v>2878</v>
      </c>
      <c r="D67" s="48"/>
    </row>
    <row r="68" spans="2:17">
      <c r="B68" s="47" t="s">
        <v>4461</v>
      </c>
      <c r="C68" s="44" t="s">
        <v>2878</v>
      </c>
      <c r="D68" s="46"/>
    </row>
    <row r="69" spans="2:17">
      <c r="B69" s="49" t="s">
        <v>4462</v>
      </c>
      <c r="C69" s="41" t="s">
        <v>2997</v>
      </c>
      <c r="D69" s="60"/>
    </row>
    <row r="70" spans="2:17">
      <c r="B70" s="49" t="s">
        <v>4463</v>
      </c>
      <c r="C70" s="41" t="s">
        <v>2999</v>
      </c>
      <c r="D70" s="60"/>
    </row>
    <row r="71" spans="2:17">
      <c r="B71" s="49" t="s">
        <v>4464</v>
      </c>
      <c r="C71" s="41" t="s">
        <v>3001</v>
      </c>
      <c r="D71" s="60"/>
    </row>
    <row r="72" spans="2:17">
      <c r="B72" s="49" t="s">
        <v>4465</v>
      </c>
      <c r="C72" s="41" t="s">
        <v>3003</v>
      </c>
      <c r="D72" s="60"/>
    </row>
    <row r="73" spans="2:17">
      <c r="B73" s="49" t="s">
        <v>4466</v>
      </c>
      <c r="C73" s="41" t="s">
        <v>3005</v>
      </c>
      <c r="D73" s="60"/>
    </row>
    <row r="74" spans="2:17">
      <c r="B74" s="49" t="s">
        <v>4467</v>
      </c>
      <c r="C74" s="41" t="s">
        <v>3007</v>
      </c>
      <c r="D74" s="60"/>
    </row>
    <row r="75" spans="2:17" ht="30">
      <c r="B75" s="49" t="s">
        <v>4468</v>
      </c>
      <c r="C75" s="41" t="s">
        <v>3009</v>
      </c>
      <c r="D75" s="60"/>
    </row>
    <row r="76" spans="2:17">
      <c r="B76" s="49" t="s">
        <v>3314</v>
      </c>
      <c r="C76" s="41" t="s">
        <v>3064</v>
      </c>
      <c r="D76" s="60"/>
    </row>
    <row r="78" spans="2:17">
      <c r="P78" s="13" t="str">
        <f>Show!$B$107&amp;Show!$B$107&amp;"S.23.02.01.03 Rows {"&amp;COLUMN($C$1)&amp;"}"</f>
        <v>!!S.23.02.01.03 Rows {3}</v>
      </c>
      <c r="Q78" s="13" t="str">
        <f>Show!$B$107&amp;Show!$B$107&amp;"S.23.02.01.03 Columns {"&amp;COLUMN($D$1)&amp;"}"</f>
        <v>!!S.23.02.01.03 Columns {4}</v>
      </c>
    </row>
    <row r="80" spans="2:17" ht="18.75">
      <c r="B80" s="88" t="s">
        <v>4469</v>
      </c>
      <c r="C80" s="87"/>
      <c r="D80" s="87"/>
      <c r="E80" s="87"/>
      <c r="F80" s="87"/>
      <c r="G80" s="87"/>
      <c r="H80" s="87"/>
      <c r="I80" s="87"/>
      <c r="J80" s="87"/>
      <c r="K80" s="87"/>
      <c r="L80" s="87"/>
    </row>
    <row r="84" spans="2:17">
      <c r="D84" s="89" t="s">
        <v>2877</v>
      </c>
    </row>
    <row r="85" spans="2:17">
      <c r="D85" s="91"/>
    </row>
    <row r="86" spans="2:17">
      <c r="D86" s="55" t="s">
        <v>4470</v>
      </c>
    </row>
    <row r="87" spans="2:17">
      <c r="D87" s="45" t="s">
        <v>3243</v>
      </c>
      <c r="P87" s="13" t="str">
        <f>Show!$B$107&amp;"S.23.02.01.04 Rows {"&amp;COLUMN($C$1)&amp;"}"&amp;"@ForceFilingCode:true"</f>
        <v>!S.23.02.01.04 Rows {3}@ForceFilingCode:true</v>
      </c>
      <c r="Q87" s="13" t="str">
        <f>Show!$B$107&amp;"S.23.02.01.04 Columns {"&amp;COLUMN($D$1)&amp;"}"</f>
        <v>!S.23.02.01.04 Columns {4}</v>
      </c>
    </row>
    <row r="88" spans="2:17">
      <c r="B88" s="43" t="s">
        <v>2880</v>
      </c>
      <c r="C88" s="44" t="s">
        <v>2878</v>
      </c>
      <c r="D88" s="46"/>
    </row>
    <row r="89" spans="2:17">
      <c r="B89" s="47" t="s">
        <v>4466</v>
      </c>
      <c r="C89" s="41" t="s">
        <v>3005</v>
      </c>
      <c r="D89" s="51"/>
    </row>
    <row r="91" spans="2:17">
      <c r="P91" s="13" t="str">
        <f>Show!$B$107&amp;Show!$B$107&amp;"S.23.02.01.04 Rows {"&amp;COLUMN($C$1)&amp;"}"</f>
        <v>!!S.23.02.01.04 Rows {3}</v>
      </c>
      <c r="Q91" s="13" t="str">
        <f>Show!$B$107&amp;Show!$B$107&amp;"S.23.02.01.04 Columns {"&amp;COLUMN($D$1)&amp;"}"</f>
        <v>!!S.23.02.01.04 Columns {4}</v>
      </c>
    </row>
  </sheetData>
  <sheetProtection sheet="1" objects="1" scenarios="1"/>
  <mergeCells count="16">
    <mergeCell ref="B2:O2"/>
    <mergeCell ref="B5:L5"/>
    <mergeCell ref="D9:I10"/>
    <mergeCell ref="D11:D12"/>
    <mergeCell ref="E11:F11"/>
    <mergeCell ref="G11:H11"/>
    <mergeCell ref="I11:I12"/>
    <mergeCell ref="D64:D65"/>
    <mergeCell ref="B80:L80"/>
    <mergeCell ref="D84:D85"/>
    <mergeCell ref="B42:L42"/>
    <mergeCell ref="D46:G47"/>
    <mergeCell ref="D48:E48"/>
    <mergeCell ref="F48:G48"/>
    <mergeCell ref="B58:L58"/>
    <mergeCell ref="D62:D63"/>
  </mergeCells>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1827E-1CB7-4CF9-A979-B3C3EDCF459A}">
  <sheetPr codeName="Blad112"/>
  <dimension ref="B2:Q91"/>
  <sheetViews>
    <sheetView showGridLines="0" workbookViewId="0"/>
  </sheetViews>
  <sheetFormatPr defaultRowHeight="15"/>
  <cols>
    <col min="2" max="2" width="83.7109375" bestFit="1" customWidth="1"/>
    <col min="4" max="4" width="40.7109375" customWidth="1"/>
    <col min="5" max="9" width="15.7109375" customWidth="1"/>
  </cols>
  <sheetData>
    <row r="2" spans="2:17" ht="23.25">
      <c r="B2" s="86" t="s">
        <v>674</v>
      </c>
      <c r="C2" s="87"/>
      <c r="D2" s="87"/>
      <c r="E2" s="87"/>
      <c r="F2" s="87"/>
      <c r="G2" s="87"/>
      <c r="H2" s="87"/>
      <c r="I2" s="87"/>
      <c r="J2" s="87"/>
      <c r="K2" s="87"/>
      <c r="L2" s="87"/>
      <c r="M2" s="87"/>
      <c r="N2" s="87"/>
      <c r="O2" s="87"/>
    </row>
    <row r="5" spans="2:17" ht="18.75">
      <c r="B5" s="88" t="s">
        <v>4471</v>
      </c>
      <c r="C5" s="87"/>
      <c r="D5" s="87"/>
      <c r="E5" s="87"/>
      <c r="F5" s="87"/>
      <c r="G5" s="87"/>
      <c r="H5" s="87"/>
      <c r="I5" s="87"/>
      <c r="J5" s="87"/>
      <c r="K5" s="87"/>
      <c r="L5" s="87"/>
    </row>
    <row r="9" spans="2:17">
      <c r="D9" s="92" t="s">
        <v>2877</v>
      </c>
      <c r="E9" s="93"/>
      <c r="F9" s="93"/>
      <c r="G9" s="93"/>
      <c r="H9" s="93"/>
      <c r="I9" s="94"/>
    </row>
    <row r="10" spans="2:17">
      <c r="D10" s="95"/>
      <c r="E10" s="96"/>
      <c r="F10" s="96"/>
      <c r="G10" s="96"/>
      <c r="H10" s="96"/>
      <c r="I10" s="97"/>
    </row>
    <row r="11" spans="2:17">
      <c r="D11" s="89" t="s">
        <v>3480</v>
      </c>
      <c r="E11" s="92" t="s">
        <v>2545</v>
      </c>
      <c r="F11" s="99"/>
      <c r="G11" s="92" t="s">
        <v>2548</v>
      </c>
      <c r="H11" s="99"/>
      <c r="I11" s="89" t="s">
        <v>2549</v>
      </c>
    </row>
    <row r="12" spans="2:17" ht="45">
      <c r="D12" s="91"/>
      <c r="E12" s="77"/>
      <c r="F12" s="55" t="s">
        <v>4434</v>
      </c>
      <c r="G12" s="77"/>
      <c r="H12" s="55" t="s">
        <v>4434</v>
      </c>
      <c r="I12" s="91"/>
    </row>
    <row r="13" spans="2:17">
      <c r="D13" s="45" t="s">
        <v>2879</v>
      </c>
      <c r="E13" s="45" t="s">
        <v>3219</v>
      </c>
      <c r="F13" s="45" t="s">
        <v>3225</v>
      </c>
      <c r="G13" s="45" t="s">
        <v>3223</v>
      </c>
      <c r="H13" s="45" t="s">
        <v>3229</v>
      </c>
      <c r="I13" s="45" t="s">
        <v>3231</v>
      </c>
      <c r="P13" s="13" t="str">
        <f>Show!$B$108&amp;"S.23.02.04.01 Rows {"&amp;COLUMN($C$1)&amp;"}"&amp;"@ForceFilingCode:true"</f>
        <v>!S.23.02.04.01 Rows {3}@ForceFilingCode:true</v>
      </c>
      <c r="Q13" s="13" t="str">
        <f>Show!$B$108&amp;"S.23.02.04.01 Columns {"&amp;COLUMN($D$1)&amp;"}"</f>
        <v>!S.23.02.04.01 Columns {4}</v>
      </c>
    </row>
    <row r="14" spans="2:17">
      <c r="B14" s="43" t="s">
        <v>2880</v>
      </c>
      <c r="C14" s="44" t="s">
        <v>2878</v>
      </c>
      <c r="D14" s="58"/>
      <c r="E14" s="67"/>
      <c r="F14" s="67"/>
      <c r="G14" s="67"/>
      <c r="H14" s="67"/>
      <c r="I14" s="59"/>
    </row>
    <row r="15" spans="2:17">
      <c r="B15" s="47" t="s">
        <v>4435</v>
      </c>
      <c r="C15" s="44" t="s">
        <v>2878</v>
      </c>
      <c r="D15" s="56"/>
      <c r="E15" s="66"/>
      <c r="F15" s="67"/>
      <c r="G15" s="67"/>
      <c r="H15" s="67"/>
      <c r="I15" s="59"/>
    </row>
    <row r="16" spans="2:17">
      <c r="B16" s="49" t="s">
        <v>4436</v>
      </c>
      <c r="C16" s="41" t="s">
        <v>2883</v>
      </c>
      <c r="D16" s="60"/>
      <c r="E16" s="65"/>
      <c r="F16" s="58"/>
      <c r="G16" s="56"/>
      <c r="H16" s="58"/>
      <c r="I16" s="48"/>
    </row>
    <row r="17" spans="2:9">
      <c r="B17" s="49" t="s">
        <v>4437</v>
      </c>
      <c r="C17" s="41" t="s">
        <v>2885</v>
      </c>
      <c r="D17" s="64"/>
      <c r="E17" s="56"/>
      <c r="F17" s="48"/>
      <c r="G17" s="65"/>
      <c r="H17" s="58"/>
      <c r="I17" s="48"/>
    </row>
    <row r="18" spans="2:9">
      <c r="B18" s="49" t="s">
        <v>4438</v>
      </c>
      <c r="C18" s="41" t="s">
        <v>2887</v>
      </c>
      <c r="D18" s="60"/>
      <c r="E18" s="64"/>
      <c r="F18" s="58"/>
      <c r="G18" s="56"/>
      <c r="H18" s="58"/>
      <c r="I18" s="48"/>
    </row>
    <row r="19" spans="2:9">
      <c r="B19" s="47" t="s">
        <v>4439</v>
      </c>
      <c r="C19" s="41" t="s">
        <v>2899</v>
      </c>
      <c r="D19" s="63"/>
      <c r="E19" s="65"/>
      <c r="F19" s="48"/>
      <c r="G19" s="65"/>
      <c r="H19" s="58"/>
      <c r="I19" s="48"/>
    </row>
    <row r="20" spans="2:9" ht="30">
      <c r="B20" s="47" t="s">
        <v>4440</v>
      </c>
      <c r="C20" s="44" t="s">
        <v>2878</v>
      </c>
      <c r="D20" s="56"/>
      <c r="E20" s="66"/>
      <c r="F20" s="67"/>
      <c r="G20" s="67"/>
      <c r="H20" s="67"/>
      <c r="I20" s="59"/>
    </row>
    <row r="21" spans="2:9">
      <c r="B21" s="49" t="s">
        <v>4436</v>
      </c>
      <c r="C21" s="41" t="s">
        <v>2901</v>
      </c>
      <c r="D21" s="60"/>
      <c r="E21" s="65"/>
      <c r="F21" s="58"/>
      <c r="G21" s="56"/>
      <c r="H21" s="58"/>
      <c r="I21" s="48"/>
    </row>
    <row r="22" spans="2:9">
      <c r="B22" s="49" t="s">
        <v>4437</v>
      </c>
      <c r="C22" s="41" t="s">
        <v>2903</v>
      </c>
      <c r="D22" s="64"/>
      <c r="E22" s="56"/>
      <c r="F22" s="48"/>
      <c r="G22" s="64"/>
      <c r="H22" s="58"/>
      <c r="I22" s="48"/>
    </row>
    <row r="23" spans="2:9" ht="30">
      <c r="B23" s="47" t="s">
        <v>4441</v>
      </c>
      <c r="C23" s="41" t="s">
        <v>2919</v>
      </c>
      <c r="D23" s="63"/>
      <c r="E23" s="65"/>
      <c r="F23" s="48"/>
      <c r="G23" s="65"/>
      <c r="H23" s="58"/>
      <c r="I23" s="48"/>
    </row>
    <row r="24" spans="2:9">
      <c r="B24" s="47" t="s">
        <v>4442</v>
      </c>
      <c r="C24" s="44" t="s">
        <v>2878</v>
      </c>
      <c r="D24" s="56"/>
      <c r="E24" s="66"/>
      <c r="F24" s="66"/>
      <c r="G24" s="66"/>
      <c r="H24" s="66"/>
      <c r="I24" s="57"/>
    </row>
    <row r="25" spans="2:9">
      <c r="B25" s="49" t="s">
        <v>4443</v>
      </c>
      <c r="C25" s="41" t="s">
        <v>2921</v>
      </c>
      <c r="D25" s="60"/>
      <c r="E25" s="60"/>
      <c r="F25" s="60"/>
      <c r="G25" s="60"/>
      <c r="H25" s="60"/>
      <c r="I25" s="60"/>
    </row>
    <row r="26" spans="2:9">
      <c r="B26" s="49" t="s">
        <v>4444</v>
      </c>
      <c r="C26" s="41" t="s">
        <v>2923</v>
      </c>
      <c r="D26" s="60"/>
      <c r="E26" s="60"/>
      <c r="F26" s="60"/>
      <c r="G26" s="60"/>
      <c r="H26" s="60"/>
      <c r="I26" s="60"/>
    </row>
    <row r="27" spans="2:9">
      <c r="B27" s="49" t="s">
        <v>4445</v>
      </c>
      <c r="C27" s="41" t="s">
        <v>2925</v>
      </c>
      <c r="D27" s="60"/>
      <c r="E27" s="60"/>
      <c r="F27" s="60"/>
      <c r="G27" s="60"/>
      <c r="H27" s="60"/>
      <c r="I27" s="60"/>
    </row>
    <row r="28" spans="2:9">
      <c r="B28" s="47" t="s">
        <v>4446</v>
      </c>
      <c r="C28" s="41" t="s">
        <v>2939</v>
      </c>
      <c r="D28" s="63"/>
      <c r="E28" s="63"/>
      <c r="F28" s="63"/>
      <c r="G28" s="63"/>
      <c r="H28" s="63"/>
      <c r="I28" s="63"/>
    </row>
    <row r="29" spans="2:9">
      <c r="B29" s="47" t="s">
        <v>4350</v>
      </c>
      <c r="C29" s="44" t="s">
        <v>2878</v>
      </c>
      <c r="D29" s="56"/>
      <c r="E29" s="66"/>
      <c r="F29" s="66"/>
      <c r="G29" s="66"/>
      <c r="H29" s="66"/>
      <c r="I29" s="57"/>
    </row>
    <row r="30" spans="2:9">
      <c r="B30" s="49" t="s">
        <v>4447</v>
      </c>
      <c r="C30" s="41" t="s">
        <v>2941</v>
      </c>
      <c r="D30" s="60"/>
      <c r="E30" s="60"/>
      <c r="F30" s="60"/>
      <c r="G30" s="60"/>
      <c r="H30" s="60"/>
      <c r="I30" s="60"/>
    </row>
    <row r="31" spans="2:9">
      <c r="B31" s="49" t="s">
        <v>4448</v>
      </c>
      <c r="C31" s="41" t="s">
        <v>2943</v>
      </c>
      <c r="D31" s="60"/>
      <c r="E31" s="60"/>
      <c r="F31" s="60"/>
      <c r="G31" s="60"/>
      <c r="H31" s="60"/>
      <c r="I31" s="60"/>
    </row>
    <row r="32" spans="2:9">
      <c r="B32" s="49" t="s">
        <v>4449</v>
      </c>
      <c r="C32" s="41" t="s">
        <v>2945</v>
      </c>
      <c r="D32" s="60"/>
      <c r="E32" s="60"/>
      <c r="F32" s="60"/>
      <c r="G32" s="60"/>
      <c r="H32" s="60"/>
      <c r="I32" s="60"/>
    </row>
    <row r="33" spans="2:17">
      <c r="B33" s="47" t="s">
        <v>4450</v>
      </c>
      <c r="C33" s="41" t="s">
        <v>2959</v>
      </c>
      <c r="D33" s="63"/>
      <c r="E33" s="63"/>
      <c r="F33" s="63"/>
      <c r="G33" s="63"/>
      <c r="H33" s="63"/>
      <c r="I33" s="63"/>
    </row>
    <row r="34" spans="2:17">
      <c r="B34" s="47" t="s">
        <v>3309</v>
      </c>
      <c r="C34" s="44" t="s">
        <v>2878</v>
      </c>
      <c r="D34" s="56"/>
      <c r="E34" s="66"/>
      <c r="F34" s="66"/>
      <c r="G34" s="66"/>
      <c r="H34" s="66"/>
      <c r="I34" s="57"/>
    </row>
    <row r="35" spans="2:17">
      <c r="B35" s="49" t="s">
        <v>4451</v>
      </c>
      <c r="C35" s="41" t="s">
        <v>2961</v>
      </c>
      <c r="D35" s="60"/>
      <c r="E35" s="60"/>
      <c r="F35" s="60"/>
      <c r="G35" s="60"/>
      <c r="H35" s="60"/>
      <c r="I35" s="60"/>
    </row>
    <row r="36" spans="2:17">
      <c r="B36" s="49" t="s">
        <v>4452</v>
      </c>
      <c r="C36" s="41" t="s">
        <v>2963</v>
      </c>
      <c r="D36" s="60"/>
      <c r="E36" s="60"/>
      <c r="F36" s="60"/>
      <c r="G36" s="60"/>
      <c r="H36" s="60"/>
      <c r="I36" s="60"/>
    </row>
    <row r="37" spans="2:17">
      <c r="B37" s="49" t="s">
        <v>4453</v>
      </c>
      <c r="C37" s="41" t="s">
        <v>2965</v>
      </c>
      <c r="D37" s="60"/>
      <c r="E37" s="60"/>
      <c r="F37" s="60"/>
      <c r="G37" s="60"/>
      <c r="H37" s="60"/>
      <c r="I37" s="60"/>
    </row>
    <row r="38" spans="2:17">
      <c r="B38" s="47" t="s">
        <v>4454</v>
      </c>
      <c r="C38" s="41" t="s">
        <v>2977</v>
      </c>
      <c r="D38" s="60"/>
      <c r="E38" s="60"/>
      <c r="F38" s="60"/>
      <c r="G38" s="60"/>
      <c r="H38" s="60"/>
      <c r="I38" s="60"/>
    </row>
    <row r="40" spans="2:17">
      <c r="P40" s="13" t="str">
        <f>Show!$B$108&amp;Show!$B$108&amp;"S.23.02.04.01 Rows {"&amp;COLUMN($C$1)&amp;"}"</f>
        <v>!!S.23.02.04.01 Rows {3}</v>
      </c>
      <c r="Q40" s="13" t="str">
        <f>Show!$B$108&amp;Show!$B$108&amp;"S.23.02.04.01 Columns {"&amp;COLUMN($I$1)&amp;"}"</f>
        <v>!!S.23.02.04.01 Columns {9}</v>
      </c>
    </row>
    <row r="42" spans="2:17" ht="18.75">
      <c r="B42" s="88" t="s">
        <v>4472</v>
      </c>
      <c r="C42" s="87"/>
      <c r="D42" s="87"/>
      <c r="E42" s="87"/>
      <c r="F42" s="87"/>
      <c r="G42" s="87"/>
      <c r="H42" s="87"/>
      <c r="I42" s="87"/>
      <c r="J42" s="87"/>
      <c r="K42" s="87"/>
      <c r="L42" s="87"/>
    </row>
    <row r="46" spans="2:17">
      <c r="D46" s="92" t="s">
        <v>2877</v>
      </c>
      <c r="E46" s="93"/>
      <c r="F46" s="93"/>
      <c r="G46" s="94"/>
    </row>
    <row r="47" spans="2:17">
      <c r="D47" s="95"/>
      <c r="E47" s="96"/>
      <c r="F47" s="96"/>
      <c r="G47" s="97"/>
    </row>
    <row r="48" spans="2:17">
      <c r="D48" s="98" t="s">
        <v>2548</v>
      </c>
      <c r="E48" s="99"/>
      <c r="F48" s="98" t="s">
        <v>2549</v>
      </c>
      <c r="G48" s="99"/>
    </row>
    <row r="49" spans="2:17" ht="30">
      <c r="D49" s="55" t="s">
        <v>4456</v>
      </c>
      <c r="E49" s="55" t="s">
        <v>4457</v>
      </c>
      <c r="F49" s="55" t="s">
        <v>4456</v>
      </c>
      <c r="G49" s="55" t="s">
        <v>4457</v>
      </c>
    </row>
    <row r="50" spans="2:17">
      <c r="D50" s="45" t="s">
        <v>3233</v>
      </c>
      <c r="E50" s="45" t="s">
        <v>3234</v>
      </c>
      <c r="F50" s="45" t="s">
        <v>3236</v>
      </c>
      <c r="G50" s="45" t="s">
        <v>3239</v>
      </c>
      <c r="P50" s="13" t="str">
        <f>Show!$B$108&amp;"S.23.02.04.02 Rows {"&amp;COLUMN($C$1)&amp;"}"&amp;"@ForceFilingCode:true"</f>
        <v>!S.23.02.04.02 Rows {3}@ForceFilingCode:true</v>
      </c>
      <c r="Q50" s="13" t="str">
        <f>Show!$B$108&amp;"S.23.02.04.02 Columns {"&amp;COLUMN($D$1)&amp;"}"</f>
        <v>!S.23.02.04.02 Columns {4}</v>
      </c>
    </row>
    <row r="51" spans="2:17">
      <c r="B51" s="43" t="s">
        <v>2880</v>
      </c>
      <c r="C51" s="44" t="s">
        <v>2878</v>
      </c>
      <c r="D51" s="58"/>
      <c r="E51" s="67"/>
      <c r="F51" s="67"/>
      <c r="G51" s="59"/>
    </row>
    <row r="52" spans="2:17">
      <c r="B52" s="47" t="s">
        <v>1232</v>
      </c>
      <c r="C52" s="44" t="s">
        <v>2878</v>
      </c>
      <c r="D52" s="56"/>
      <c r="E52" s="66"/>
      <c r="F52" s="66"/>
      <c r="G52" s="57"/>
    </row>
    <row r="53" spans="2:17">
      <c r="B53" s="49" t="s">
        <v>4458</v>
      </c>
      <c r="C53" s="41" t="s">
        <v>2979</v>
      </c>
      <c r="D53" s="63"/>
      <c r="E53" s="60"/>
      <c r="F53" s="63"/>
      <c r="G53" s="60"/>
    </row>
    <row r="54" spans="2:17">
      <c r="B54" s="49" t="s">
        <v>4459</v>
      </c>
      <c r="C54" s="44" t="s">
        <v>2981</v>
      </c>
      <c r="D54" s="46"/>
      <c r="E54" s="64"/>
      <c r="F54" s="46"/>
      <c r="G54" s="60"/>
    </row>
    <row r="56" spans="2:17">
      <c r="P56" s="13" t="str">
        <f>Show!$B$108&amp;Show!$B$108&amp;"S.23.02.04.02 Rows {"&amp;COLUMN($C$1)&amp;"}"</f>
        <v>!!S.23.02.04.02 Rows {3}</v>
      </c>
      <c r="Q56" s="13" t="str">
        <f>Show!$B$108&amp;Show!$B$108&amp;"S.23.02.04.02 Columns {"&amp;COLUMN($G$1)&amp;"}"</f>
        <v>!!S.23.02.04.02 Columns {7}</v>
      </c>
    </row>
    <row r="58" spans="2:17" ht="18.75">
      <c r="B58" s="88" t="s">
        <v>4473</v>
      </c>
      <c r="C58" s="87"/>
      <c r="D58" s="87"/>
      <c r="E58" s="87"/>
      <c r="F58" s="87"/>
      <c r="G58" s="87"/>
      <c r="H58" s="87"/>
      <c r="I58" s="87"/>
      <c r="J58" s="87"/>
      <c r="K58" s="87"/>
      <c r="L58" s="87"/>
    </row>
    <row r="62" spans="2:17">
      <c r="D62" s="89" t="s">
        <v>2877</v>
      </c>
    </row>
    <row r="63" spans="2:17">
      <c r="D63" s="91"/>
    </row>
    <row r="64" spans="2:17">
      <c r="D64" s="89" t="s">
        <v>3480</v>
      </c>
    </row>
    <row r="65" spans="2:17">
      <c r="D65" s="91"/>
    </row>
    <row r="66" spans="2:17">
      <c r="D66" s="45" t="s">
        <v>3241</v>
      </c>
      <c r="P66" s="13" t="str">
        <f>Show!$B$108&amp;"S.23.02.04.03 Rows {"&amp;COLUMN($C$1)&amp;"}"&amp;"@ForceFilingCode:true"</f>
        <v>!S.23.02.04.03 Rows {3}@ForceFilingCode:true</v>
      </c>
      <c r="Q66" s="13" t="str">
        <f>Show!$B$108&amp;"S.23.02.04.03 Columns {"&amp;COLUMN($D$1)&amp;"}"</f>
        <v>!S.23.02.04.03 Columns {4}</v>
      </c>
    </row>
    <row r="67" spans="2:17">
      <c r="B67" s="43" t="s">
        <v>2880</v>
      </c>
      <c r="C67" s="44" t="s">
        <v>2878</v>
      </c>
      <c r="D67" s="48"/>
    </row>
    <row r="68" spans="2:17">
      <c r="B68" s="47" t="s">
        <v>4461</v>
      </c>
      <c r="C68" s="44" t="s">
        <v>2878</v>
      </c>
      <c r="D68" s="46"/>
    </row>
    <row r="69" spans="2:17">
      <c r="B69" s="49" t="s">
        <v>4462</v>
      </c>
      <c r="C69" s="41" t="s">
        <v>2997</v>
      </c>
      <c r="D69" s="60"/>
    </row>
    <row r="70" spans="2:17">
      <c r="B70" s="49" t="s">
        <v>4463</v>
      </c>
      <c r="C70" s="41" t="s">
        <v>2999</v>
      </c>
      <c r="D70" s="60"/>
    </row>
    <row r="71" spans="2:17">
      <c r="B71" s="49" t="s">
        <v>4464</v>
      </c>
      <c r="C71" s="41" t="s">
        <v>3001</v>
      </c>
      <c r="D71" s="60"/>
    </row>
    <row r="72" spans="2:17">
      <c r="B72" s="49" t="s">
        <v>4465</v>
      </c>
      <c r="C72" s="41" t="s">
        <v>3003</v>
      </c>
      <c r="D72" s="60"/>
    </row>
    <row r="73" spans="2:17">
      <c r="B73" s="49" t="s">
        <v>4466</v>
      </c>
      <c r="C73" s="41" t="s">
        <v>3005</v>
      </c>
      <c r="D73" s="60"/>
    </row>
    <row r="74" spans="2:17">
      <c r="B74" s="49" t="s">
        <v>4467</v>
      </c>
      <c r="C74" s="41" t="s">
        <v>3007</v>
      </c>
      <c r="D74" s="60"/>
    </row>
    <row r="75" spans="2:17" ht="30">
      <c r="B75" s="49" t="s">
        <v>4468</v>
      </c>
      <c r="C75" s="41" t="s">
        <v>3009</v>
      </c>
      <c r="D75" s="60"/>
    </row>
    <row r="76" spans="2:17">
      <c r="B76" s="49" t="s">
        <v>3314</v>
      </c>
      <c r="C76" s="41" t="s">
        <v>3064</v>
      </c>
      <c r="D76" s="60"/>
    </row>
    <row r="78" spans="2:17">
      <c r="P78" s="13" t="str">
        <f>Show!$B$108&amp;Show!$B$108&amp;"S.23.02.04.03 Rows {"&amp;COLUMN($C$1)&amp;"}"</f>
        <v>!!S.23.02.04.03 Rows {3}</v>
      </c>
      <c r="Q78" s="13" t="str">
        <f>Show!$B$108&amp;Show!$B$108&amp;"S.23.02.04.03 Columns {"&amp;COLUMN($D$1)&amp;"}"</f>
        <v>!!S.23.02.04.03 Columns {4}</v>
      </c>
    </row>
    <row r="80" spans="2:17" ht="18.75">
      <c r="B80" s="88" t="s">
        <v>4474</v>
      </c>
      <c r="C80" s="87"/>
      <c r="D80" s="87"/>
      <c r="E80" s="87"/>
      <c r="F80" s="87"/>
      <c r="G80" s="87"/>
      <c r="H80" s="87"/>
      <c r="I80" s="87"/>
      <c r="J80" s="87"/>
      <c r="K80" s="87"/>
      <c r="L80" s="87"/>
    </row>
    <row r="84" spans="2:17">
      <c r="D84" s="89" t="s">
        <v>2877</v>
      </c>
    </row>
    <row r="85" spans="2:17">
      <c r="D85" s="91"/>
    </row>
    <row r="86" spans="2:17">
      <c r="D86" s="55" t="s">
        <v>4470</v>
      </c>
    </row>
    <row r="87" spans="2:17">
      <c r="D87" s="45" t="s">
        <v>3243</v>
      </c>
      <c r="P87" s="13" t="str">
        <f>Show!$B$108&amp;"S.23.02.04.04 Rows {"&amp;COLUMN($C$1)&amp;"}"&amp;"@ForceFilingCode:true"</f>
        <v>!S.23.02.04.04 Rows {3}@ForceFilingCode:true</v>
      </c>
      <c r="Q87" s="13" t="str">
        <f>Show!$B$108&amp;"S.23.02.04.04 Columns {"&amp;COLUMN($D$1)&amp;"}"</f>
        <v>!S.23.02.04.04 Columns {4}</v>
      </c>
    </row>
    <row r="88" spans="2:17">
      <c r="B88" s="43" t="s">
        <v>2880</v>
      </c>
      <c r="C88" s="44" t="s">
        <v>2878</v>
      </c>
      <c r="D88" s="46"/>
    </row>
    <row r="89" spans="2:17">
      <c r="B89" s="47" t="s">
        <v>4466</v>
      </c>
      <c r="C89" s="41" t="s">
        <v>3005</v>
      </c>
      <c r="D89" s="51"/>
    </row>
    <row r="91" spans="2:17">
      <c r="P91" s="13" t="str">
        <f>Show!$B$108&amp;Show!$B$108&amp;"S.23.02.04.04 Rows {"&amp;COLUMN($C$1)&amp;"}"</f>
        <v>!!S.23.02.04.04 Rows {3}</v>
      </c>
      <c r="Q91" s="13" t="str">
        <f>Show!$B$108&amp;Show!$B$108&amp;"S.23.02.04.04 Columns {"&amp;COLUMN($D$1)&amp;"}"</f>
        <v>!!S.23.02.04.04 Columns {4}</v>
      </c>
    </row>
  </sheetData>
  <sheetProtection sheet="1" objects="1" scenarios="1"/>
  <mergeCells count="16">
    <mergeCell ref="B2:O2"/>
    <mergeCell ref="B5:L5"/>
    <mergeCell ref="D9:I10"/>
    <mergeCell ref="D11:D12"/>
    <mergeCell ref="E11:F11"/>
    <mergeCell ref="G11:H11"/>
    <mergeCell ref="I11:I12"/>
    <mergeCell ref="D64:D65"/>
    <mergeCell ref="B80:L80"/>
    <mergeCell ref="D84:D85"/>
    <mergeCell ref="B42:L42"/>
    <mergeCell ref="D46:G47"/>
    <mergeCell ref="D48:E48"/>
    <mergeCell ref="F48:G48"/>
    <mergeCell ref="B58:L58"/>
    <mergeCell ref="D62:D63"/>
  </mergeCells>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BD452-B071-4EDB-AC0C-E34329A26F66}">
  <sheetPr codeName="Blad113"/>
  <dimension ref="B2:O150"/>
  <sheetViews>
    <sheetView showGridLines="0" workbookViewId="0"/>
  </sheetViews>
  <sheetFormatPr defaultRowHeight="15"/>
  <cols>
    <col min="2" max="2" width="83.7109375" bestFit="1" customWidth="1"/>
    <col min="4" max="9" width="15.7109375" customWidth="1"/>
  </cols>
  <sheetData>
    <row r="2" spans="2:15" ht="23.25">
      <c r="B2" s="86" t="s">
        <v>677</v>
      </c>
      <c r="C2" s="87"/>
      <c r="D2" s="87"/>
      <c r="E2" s="87"/>
      <c r="F2" s="87"/>
      <c r="G2" s="87"/>
      <c r="H2" s="87"/>
      <c r="I2" s="87"/>
      <c r="J2" s="87"/>
      <c r="K2" s="87"/>
      <c r="L2" s="87"/>
      <c r="M2" s="87"/>
      <c r="N2" s="87"/>
      <c r="O2" s="87"/>
    </row>
    <row r="5" spans="2:15" ht="18.75">
      <c r="B5" s="88" t="s">
        <v>4475</v>
      </c>
      <c r="C5" s="87"/>
      <c r="D5" s="87"/>
      <c r="E5" s="87"/>
      <c r="F5" s="87"/>
      <c r="G5" s="87"/>
      <c r="H5" s="87"/>
      <c r="I5" s="87"/>
      <c r="J5" s="87"/>
      <c r="K5" s="87"/>
      <c r="L5" s="87"/>
    </row>
    <row r="9" spans="2:15">
      <c r="D9" s="92" t="s">
        <v>2877</v>
      </c>
      <c r="E9" s="93"/>
      <c r="F9" s="93"/>
      <c r="G9" s="94"/>
    </row>
    <row r="10" spans="2:15">
      <c r="D10" s="95"/>
      <c r="E10" s="96"/>
      <c r="F10" s="96"/>
      <c r="G10" s="97"/>
    </row>
    <row r="11" spans="2:15">
      <c r="D11" s="89" t="s">
        <v>4476</v>
      </c>
      <c r="E11" s="89" t="s">
        <v>4477</v>
      </c>
      <c r="F11" s="89" t="s">
        <v>4478</v>
      </c>
      <c r="G11" s="89" t="s">
        <v>4479</v>
      </c>
    </row>
    <row r="12" spans="2:15">
      <c r="D12" s="91"/>
      <c r="E12" s="91"/>
      <c r="F12" s="91"/>
      <c r="G12" s="91"/>
    </row>
    <row r="13" spans="2:15">
      <c r="D13" s="45" t="s">
        <v>2879</v>
      </c>
      <c r="E13" s="45" t="s">
        <v>3219</v>
      </c>
      <c r="F13" s="45" t="s">
        <v>3225</v>
      </c>
      <c r="G13" s="45" t="s">
        <v>3231</v>
      </c>
      <c r="N13" s="13" t="str">
        <f>Show!$B$109&amp;"S.23.03.01.01 Rows {"&amp;COLUMN($C$1)&amp;"}"&amp;"@ForceFilingCode:true"</f>
        <v>!S.23.03.01.01 Rows {3}@ForceFilingCode:true</v>
      </c>
      <c r="O13" s="13" t="str">
        <f>Show!$B$109&amp;"S.23.03.01.01 Columns {"&amp;COLUMN($D$1)&amp;"}"</f>
        <v>!S.23.03.01.01 Columns {4}</v>
      </c>
    </row>
    <row r="14" spans="2:15">
      <c r="B14" s="43" t="s">
        <v>2880</v>
      </c>
      <c r="C14" s="44" t="s">
        <v>2878</v>
      </c>
      <c r="D14" s="58"/>
      <c r="E14" s="67"/>
      <c r="F14" s="67"/>
      <c r="G14" s="59"/>
    </row>
    <row r="15" spans="2:15">
      <c r="B15" s="47" t="s">
        <v>4480</v>
      </c>
      <c r="C15" s="44" t="s">
        <v>2878</v>
      </c>
      <c r="D15" s="56"/>
      <c r="E15" s="66"/>
      <c r="F15" s="66"/>
      <c r="G15" s="57"/>
    </row>
    <row r="16" spans="2:15">
      <c r="B16" s="49" t="s">
        <v>4436</v>
      </c>
      <c r="C16" s="41" t="s">
        <v>2883</v>
      </c>
      <c r="D16" s="60"/>
      <c r="E16" s="60"/>
      <c r="F16" s="60"/>
      <c r="G16" s="60"/>
    </row>
    <row r="17" spans="2:15">
      <c r="B17" s="49" t="s">
        <v>4437</v>
      </c>
      <c r="C17" s="41" t="s">
        <v>2885</v>
      </c>
      <c r="D17" s="60"/>
      <c r="E17" s="60"/>
      <c r="F17" s="60"/>
      <c r="G17" s="60"/>
    </row>
    <row r="18" spans="2:15">
      <c r="B18" s="49" t="s">
        <v>4438</v>
      </c>
      <c r="C18" s="41" t="s">
        <v>2887</v>
      </c>
      <c r="D18" s="60"/>
      <c r="E18" s="60"/>
      <c r="F18" s="60"/>
      <c r="G18" s="60"/>
    </row>
    <row r="19" spans="2:15">
      <c r="B19" s="47" t="s">
        <v>4439</v>
      </c>
      <c r="C19" s="41" t="s">
        <v>2899</v>
      </c>
      <c r="D19" s="63"/>
      <c r="E19" s="63"/>
      <c r="F19" s="63"/>
      <c r="G19" s="63"/>
    </row>
    <row r="20" spans="2:15" ht="30">
      <c r="B20" s="47" t="s">
        <v>4481</v>
      </c>
      <c r="C20" s="44" t="s">
        <v>2878</v>
      </c>
      <c r="D20" s="56"/>
      <c r="E20" s="66"/>
      <c r="F20" s="66"/>
      <c r="G20" s="57"/>
    </row>
    <row r="21" spans="2:15">
      <c r="B21" s="49" t="s">
        <v>2545</v>
      </c>
      <c r="C21" s="41" t="s">
        <v>2901</v>
      </c>
      <c r="D21" s="60"/>
      <c r="E21" s="60"/>
      <c r="F21" s="60"/>
      <c r="G21" s="60"/>
    </row>
    <row r="22" spans="2:15">
      <c r="B22" s="49" t="s">
        <v>2548</v>
      </c>
      <c r="C22" s="41" t="s">
        <v>2903</v>
      </c>
      <c r="D22" s="60"/>
      <c r="E22" s="60"/>
      <c r="F22" s="60"/>
      <c r="G22" s="60"/>
    </row>
    <row r="23" spans="2:15">
      <c r="B23" s="47" t="s">
        <v>3480</v>
      </c>
      <c r="C23" s="41" t="s">
        <v>2919</v>
      </c>
      <c r="D23" s="63"/>
      <c r="E23" s="63"/>
      <c r="F23" s="63"/>
      <c r="G23" s="63"/>
    </row>
    <row r="24" spans="2:15" ht="30">
      <c r="B24" s="47" t="s">
        <v>4482</v>
      </c>
      <c r="C24" s="44" t="s">
        <v>2878</v>
      </c>
      <c r="D24" s="56"/>
      <c r="E24" s="66"/>
      <c r="F24" s="66"/>
      <c r="G24" s="57"/>
    </row>
    <row r="25" spans="2:15">
      <c r="B25" s="49" t="s">
        <v>4436</v>
      </c>
      <c r="C25" s="41" t="s">
        <v>2921</v>
      </c>
      <c r="D25" s="60"/>
      <c r="E25" s="60"/>
      <c r="F25" s="60"/>
      <c r="G25" s="60"/>
    </row>
    <row r="26" spans="2:15">
      <c r="B26" s="49" t="s">
        <v>4437</v>
      </c>
      <c r="C26" s="41" t="s">
        <v>2923</v>
      </c>
      <c r="D26" s="60"/>
      <c r="E26" s="60"/>
      <c r="F26" s="60"/>
      <c r="G26" s="60"/>
    </row>
    <row r="27" spans="2:15" ht="30">
      <c r="B27" s="47" t="s">
        <v>4483</v>
      </c>
      <c r="C27" s="41" t="s">
        <v>2939</v>
      </c>
      <c r="D27" s="60"/>
      <c r="E27" s="60"/>
      <c r="F27" s="60"/>
      <c r="G27" s="60"/>
    </row>
    <row r="29" spans="2:15">
      <c r="N29" s="13" t="str">
        <f>Show!$B$109&amp;Show!$B$109&amp;"S.23.03.01.01 Rows {"&amp;COLUMN($C$1)&amp;"}"</f>
        <v>!!S.23.03.01.01 Rows {3}</v>
      </c>
      <c r="O29" s="13" t="str">
        <f>Show!$B$109&amp;Show!$B$109&amp;"S.23.03.01.01 Columns {"&amp;COLUMN($G$1)&amp;"}"</f>
        <v>!!S.23.03.01.01 Columns {7}</v>
      </c>
    </row>
    <row r="31" spans="2:15" ht="18.75">
      <c r="B31" s="88" t="s">
        <v>4484</v>
      </c>
      <c r="C31" s="87"/>
      <c r="D31" s="87"/>
      <c r="E31" s="87"/>
      <c r="F31" s="87"/>
      <c r="G31" s="87"/>
      <c r="H31" s="87"/>
      <c r="I31" s="87"/>
      <c r="J31" s="87"/>
      <c r="K31" s="87"/>
      <c r="L31" s="87"/>
    </row>
    <row r="35" spans="2:15">
      <c r="D35" s="92" t="s">
        <v>2877</v>
      </c>
      <c r="E35" s="93"/>
      <c r="F35" s="93"/>
      <c r="G35" s="93"/>
      <c r="H35" s="93"/>
      <c r="I35" s="94"/>
    </row>
    <row r="36" spans="2:15">
      <c r="D36" s="95"/>
      <c r="E36" s="96"/>
      <c r="F36" s="96"/>
      <c r="G36" s="96"/>
      <c r="H36" s="96"/>
      <c r="I36" s="97"/>
    </row>
    <row r="37" spans="2:15">
      <c r="D37" s="89" t="s">
        <v>4476</v>
      </c>
      <c r="E37" s="89" t="s">
        <v>4485</v>
      </c>
      <c r="F37" s="89" t="s">
        <v>4486</v>
      </c>
      <c r="G37" s="89" t="s">
        <v>4487</v>
      </c>
      <c r="H37" s="89" t="s">
        <v>4488</v>
      </c>
      <c r="I37" s="89" t="s">
        <v>4479</v>
      </c>
    </row>
    <row r="38" spans="2:15">
      <c r="D38" s="91"/>
      <c r="E38" s="91"/>
      <c r="F38" s="91"/>
      <c r="G38" s="91"/>
      <c r="H38" s="91"/>
      <c r="I38" s="91"/>
    </row>
    <row r="39" spans="2:15">
      <c r="D39" s="45" t="s">
        <v>2879</v>
      </c>
      <c r="E39" s="45" t="s">
        <v>3233</v>
      </c>
      <c r="F39" s="45" t="s">
        <v>3234</v>
      </c>
      <c r="G39" s="45" t="s">
        <v>3236</v>
      </c>
      <c r="H39" s="45" t="s">
        <v>3239</v>
      </c>
      <c r="I39" s="45" t="s">
        <v>3231</v>
      </c>
      <c r="N39" s="13" t="str">
        <f>Show!$B$109&amp;"S.23.03.01.02 Rows {"&amp;COLUMN($C$1)&amp;"}"&amp;"@ForceFilingCode:true"</f>
        <v>!S.23.03.01.02 Rows {3}@ForceFilingCode:true</v>
      </c>
      <c r="O39" s="13" t="str">
        <f>Show!$B$109&amp;"S.23.03.01.02 Columns {"&amp;COLUMN($D$1)&amp;"}"</f>
        <v>!S.23.03.01.02 Columns {4}</v>
      </c>
    </row>
    <row r="40" spans="2:15">
      <c r="B40" s="43" t="s">
        <v>2880</v>
      </c>
      <c r="C40" s="44" t="s">
        <v>2878</v>
      </c>
      <c r="D40" s="58"/>
      <c r="E40" s="67"/>
      <c r="F40" s="67"/>
      <c r="G40" s="67"/>
      <c r="H40" s="67"/>
      <c r="I40" s="59"/>
    </row>
    <row r="41" spans="2:15">
      <c r="B41" s="47" t="s">
        <v>4489</v>
      </c>
      <c r="C41" s="44" t="s">
        <v>2878</v>
      </c>
      <c r="D41" s="56"/>
      <c r="E41" s="66"/>
      <c r="F41" s="66"/>
      <c r="G41" s="66"/>
      <c r="H41" s="66"/>
      <c r="I41" s="57"/>
    </row>
    <row r="42" spans="2:15">
      <c r="B42" s="49" t="s">
        <v>2545</v>
      </c>
      <c r="C42" s="41" t="s">
        <v>2941</v>
      </c>
      <c r="D42" s="60"/>
      <c r="E42" s="60"/>
      <c r="F42" s="60"/>
      <c r="G42" s="60"/>
      <c r="H42" s="60"/>
      <c r="I42" s="60"/>
    </row>
    <row r="43" spans="2:15">
      <c r="B43" s="49" t="s">
        <v>2548</v>
      </c>
      <c r="C43" s="41" t="s">
        <v>2943</v>
      </c>
      <c r="D43" s="60"/>
      <c r="E43" s="60"/>
      <c r="F43" s="60"/>
      <c r="G43" s="60"/>
      <c r="H43" s="60"/>
      <c r="I43" s="60"/>
    </row>
    <row r="44" spans="2:15">
      <c r="B44" s="49" t="s">
        <v>2549</v>
      </c>
      <c r="C44" s="41" t="s">
        <v>2945</v>
      </c>
      <c r="D44" s="60"/>
      <c r="E44" s="60"/>
      <c r="F44" s="60"/>
      <c r="G44" s="60"/>
      <c r="H44" s="60"/>
      <c r="I44" s="60"/>
    </row>
    <row r="45" spans="2:15">
      <c r="B45" s="47" t="s">
        <v>4446</v>
      </c>
      <c r="C45" s="41" t="s">
        <v>2959</v>
      </c>
      <c r="D45" s="60"/>
      <c r="E45" s="60"/>
      <c r="F45" s="60"/>
      <c r="G45" s="60"/>
      <c r="H45" s="60"/>
      <c r="I45" s="60"/>
    </row>
    <row r="47" spans="2:15">
      <c r="N47" s="13" t="str">
        <f>Show!$B$109&amp;Show!$B$109&amp;"S.23.03.01.02 Rows {"&amp;COLUMN($C$1)&amp;"}"</f>
        <v>!!S.23.03.01.02 Rows {3}</v>
      </c>
      <c r="O47" s="13" t="str">
        <f>Show!$B$109&amp;Show!$B$109&amp;"S.23.03.01.02 Columns {"&amp;COLUMN($I$1)&amp;"}"</f>
        <v>!!S.23.03.01.02 Columns {9}</v>
      </c>
    </row>
    <row r="49" spans="2:15" ht="18.75">
      <c r="B49" s="88" t="s">
        <v>4490</v>
      </c>
      <c r="C49" s="87"/>
      <c r="D49" s="87"/>
      <c r="E49" s="87"/>
      <c r="F49" s="87"/>
      <c r="G49" s="87"/>
      <c r="H49" s="87"/>
      <c r="I49" s="87"/>
      <c r="J49" s="87"/>
      <c r="K49" s="87"/>
      <c r="L49" s="87"/>
    </row>
    <row r="53" spans="2:15">
      <c r="D53" s="92" t="s">
        <v>2877</v>
      </c>
      <c r="E53" s="94"/>
    </row>
    <row r="54" spans="2:15">
      <c r="D54" s="95"/>
      <c r="E54" s="97"/>
    </row>
    <row r="55" spans="2:15">
      <c r="D55" s="55" t="s">
        <v>4476</v>
      </c>
      <c r="E55" s="55" t="s">
        <v>4479</v>
      </c>
    </row>
    <row r="56" spans="2:15">
      <c r="D56" s="45" t="s">
        <v>2879</v>
      </c>
      <c r="E56" s="45" t="s">
        <v>3231</v>
      </c>
      <c r="N56" s="13" t="str">
        <f>Show!$B$109&amp;"S.23.03.01.03 Rows {"&amp;COLUMN($C$1)&amp;"}"&amp;"@ForceFilingCode:true"</f>
        <v>!S.23.03.01.03 Rows {3}@ForceFilingCode:true</v>
      </c>
      <c r="O56" s="13" t="str">
        <f>Show!$B$109&amp;"S.23.03.01.03 Columns {"&amp;COLUMN($D$1)&amp;"}"</f>
        <v>!S.23.03.01.03 Columns {4}</v>
      </c>
    </row>
    <row r="57" spans="2:15">
      <c r="B57" s="43" t="s">
        <v>2880</v>
      </c>
      <c r="C57" s="44" t="s">
        <v>2878</v>
      </c>
      <c r="D57" s="56"/>
      <c r="E57" s="57"/>
    </row>
    <row r="58" spans="2:15">
      <c r="B58" s="47" t="s">
        <v>4349</v>
      </c>
      <c r="C58" s="41" t="s">
        <v>2977</v>
      </c>
      <c r="D58" s="60"/>
      <c r="E58" s="60"/>
    </row>
    <row r="60" spans="2:15">
      <c r="N60" s="13" t="str">
        <f>Show!$B$109&amp;Show!$B$109&amp;"S.23.03.01.03 Rows {"&amp;COLUMN($C$1)&amp;"}"</f>
        <v>!!S.23.03.01.03 Rows {3}</v>
      </c>
      <c r="O60" s="13" t="str">
        <f>Show!$B$109&amp;Show!$B$109&amp;"S.23.03.01.03 Columns {"&amp;COLUMN($E$1)&amp;"}"</f>
        <v>!!S.23.03.01.03 Columns {5}</v>
      </c>
    </row>
    <row r="62" spans="2:15" ht="18.75">
      <c r="B62" s="88" t="s">
        <v>4491</v>
      </c>
      <c r="C62" s="87"/>
      <c r="D62" s="87"/>
      <c r="E62" s="87"/>
      <c r="F62" s="87"/>
      <c r="G62" s="87"/>
      <c r="H62" s="87"/>
      <c r="I62" s="87"/>
      <c r="J62" s="87"/>
      <c r="K62" s="87"/>
      <c r="L62" s="87"/>
    </row>
    <row r="66" spans="2:15">
      <c r="D66" s="92" t="s">
        <v>2877</v>
      </c>
      <c r="E66" s="93"/>
      <c r="F66" s="93"/>
      <c r="G66" s="94"/>
    </row>
    <row r="67" spans="2:15">
      <c r="D67" s="95"/>
      <c r="E67" s="96"/>
      <c r="F67" s="96"/>
      <c r="G67" s="97"/>
    </row>
    <row r="68" spans="2:15">
      <c r="D68" s="89" t="s">
        <v>4476</v>
      </c>
      <c r="E68" s="89" t="s">
        <v>4477</v>
      </c>
      <c r="F68" s="89" t="s">
        <v>4478</v>
      </c>
      <c r="G68" s="89" t="s">
        <v>4479</v>
      </c>
    </row>
    <row r="69" spans="2:15">
      <c r="D69" s="91"/>
      <c r="E69" s="91"/>
      <c r="F69" s="91"/>
      <c r="G69" s="91"/>
    </row>
    <row r="70" spans="2:15">
      <c r="D70" s="45" t="s">
        <v>2879</v>
      </c>
      <c r="E70" s="45" t="s">
        <v>3219</v>
      </c>
      <c r="F70" s="45" t="s">
        <v>3225</v>
      </c>
      <c r="G70" s="45" t="s">
        <v>3231</v>
      </c>
      <c r="N70" s="13" t="str">
        <f>Show!$B$109&amp;"S.23.03.01.04 Rows {"&amp;COLUMN($C$1)&amp;"}"&amp;"@ForceFilingCode:true"</f>
        <v>!S.23.03.01.04 Rows {3}@ForceFilingCode:true</v>
      </c>
      <c r="O70" s="13" t="str">
        <f>Show!$B$109&amp;"S.23.03.01.04 Columns {"&amp;COLUMN($D$1)&amp;"}"</f>
        <v>!S.23.03.01.04 Columns {4}</v>
      </c>
    </row>
    <row r="71" spans="2:15">
      <c r="B71" s="43" t="s">
        <v>2880</v>
      </c>
      <c r="C71" s="44" t="s">
        <v>2878</v>
      </c>
      <c r="D71" s="58"/>
      <c r="E71" s="67"/>
      <c r="F71" s="67"/>
      <c r="G71" s="59"/>
    </row>
    <row r="72" spans="2:15">
      <c r="B72" s="47" t="s">
        <v>4492</v>
      </c>
      <c r="C72" s="44" t="s">
        <v>2878</v>
      </c>
      <c r="D72" s="56"/>
      <c r="E72" s="66"/>
      <c r="F72" s="66"/>
      <c r="G72" s="57"/>
    </row>
    <row r="73" spans="2:15">
      <c r="B73" s="49" t="s">
        <v>2545</v>
      </c>
      <c r="C73" s="41" t="s">
        <v>2979</v>
      </c>
      <c r="D73" s="60"/>
      <c r="E73" s="60"/>
      <c r="F73" s="60"/>
      <c r="G73" s="60"/>
    </row>
    <row r="74" spans="2:15">
      <c r="B74" s="49" t="s">
        <v>2548</v>
      </c>
      <c r="C74" s="41" t="s">
        <v>2981</v>
      </c>
      <c r="D74" s="60"/>
      <c r="E74" s="60"/>
      <c r="F74" s="60"/>
      <c r="G74" s="60"/>
    </row>
    <row r="75" spans="2:15">
      <c r="B75" s="49" t="s">
        <v>2549</v>
      </c>
      <c r="C75" s="41" t="s">
        <v>2983</v>
      </c>
      <c r="D75" s="60"/>
      <c r="E75" s="60"/>
      <c r="F75" s="60"/>
      <c r="G75" s="60"/>
    </row>
    <row r="76" spans="2:15">
      <c r="B76" s="47" t="s">
        <v>4450</v>
      </c>
      <c r="C76" s="41" t="s">
        <v>2997</v>
      </c>
      <c r="D76" s="63"/>
      <c r="E76" s="63"/>
      <c r="F76" s="63"/>
      <c r="G76" s="63"/>
    </row>
    <row r="77" spans="2:15">
      <c r="B77" s="47" t="s">
        <v>4493</v>
      </c>
      <c r="C77" s="44" t="s">
        <v>2878</v>
      </c>
      <c r="D77" s="56"/>
      <c r="E77" s="66"/>
      <c r="F77" s="66"/>
      <c r="G77" s="57"/>
    </row>
    <row r="78" spans="2:15">
      <c r="B78" s="49" t="s">
        <v>2545</v>
      </c>
      <c r="C78" s="41" t="s">
        <v>2999</v>
      </c>
      <c r="D78" s="60"/>
      <c r="E78" s="60"/>
      <c r="F78" s="60"/>
      <c r="G78" s="60"/>
    </row>
    <row r="79" spans="2:15">
      <c r="B79" s="49" t="s">
        <v>2548</v>
      </c>
      <c r="C79" s="41" t="s">
        <v>3001</v>
      </c>
      <c r="D79" s="60"/>
      <c r="E79" s="60"/>
      <c r="F79" s="60"/>
      <c r="G79" s="60"/>
    </row>
    <row r="80" spans="2:15">
      <c r="B80" s="49" t="s">
        <v>2549</v>
      </c>
      <c r="C80" s="41" t="s">
        <v>3003</v>
      </c>
      <c r="D80" s="60"/>
      <c r="E80" s="60"/>
      <c r="F80" s="60"/>
      <c r="G80" s="60"/>
    </row>
    <row r="81" spans="2:15">
      <c r="B81" s="47" t="s">
        <v>3480</v>
      </c>
      <c r="C81" s="41" t="s">
        <v>3064</v>
      </c>
      <c r="D81" s="60"/>
      <c r="E81" s="60"/>
      <c r="F81" s="60"/>
      <c r="G81" s="60"/>
    </row>
    <row r="83" spans="2:15">
      <c r="N83" s="13" t="str">
        <f>Show!$B$109&amp;Show!$B$109&amp;"S.23.03.01.04 Rows {"&amp;COLUMN($C$1)&amp;"}"</f>
        <v>!!S.23.03.01.04 Rows {3}</v>
      </c>
      <c r="O83" s="13" t="str">
        <f>Show!$B$109&amp;Show!$B$109&amp;"S.23.03.01.04 Columns {"&amp;COLUMN($G$1)&amp;"}"</f>
        <v>!!S.23.03.01.04 Columns {7}</v>
      </c>
    </row>
    <row r="85" spans="2:15" ht="18.75">
      <c r="B85" s="88" t="s">
        <v>4494</v>
      </c>
      <c r="C85" s="87"/>
      <c r="D85" s="87"/>
      <c r="E85" s="87"/>
      <c r="F85" s="87"/>
      <c r="G85" s="87"/>
      <c r="H85" s="87"/>
      <c r="I85" s="87"/>
      <c r="J85" s="87"/>
      <c r="K85" s="87"/>
      <c r="L85" s="87"/>
    </row>
    <row r="89" spans="2:15">
      <c r="D89" s="92" t="s">
        <v>2877</v>
      </c>
      <c r="E89" s="93"/>
      <c r="F89" s="93"/>
      <c r="G89" s="93"/>
      <c r="H89" s="93"/>
      <c r="I89" s="94"/>
    </row>
    <row r="90" spans="2:15">
      <c r="D90" s="95"/>
      <c r="E90" s="96"/>
      <c r="F90" s="96"/>
      <c r="G90" s="96"/>
      <c r="H90" s="96"/>
      <c r="I90" s="97"/>
    </row>
    <row r="91" spans="2:15">
      <c r="D91" s="89" t="s">
        <v>4476</v>
      </c>
      <c r="E91" s="89" t="s">
        <v>4485</v>
      </c>
      <c r="F91" s="89" t="s">
        <v>4486</v>
      </c>
      <c r="G91" s="89" t="s">
        <v>4487</v>
      </c>
      <c r="H91" s="89" t="s">
        <v>4488</v>
      </c>
      <c r="I91" s="89" t="s">
        <v>4479</v>
      </c>
    </row>
    <row r="92" spans="2:15">
      <c r="D92" s="91"/>
      <c r="E92" s="91"/>
      <c r="F92" s="91"/>
      <c r="G92" s="91"/>
      <c r="H92" s="91"/>
      <c r="I92" s="91"/>
    </row>
    <row r="93" spans="2:15">
      <c r="D93" s="45" t="s">
        <v>2879</v>
      </c>
      <c r="E93" s="45" t="s">
        <v>3233</v>
      </c>
      <c r="F93" s="45" t="s">
        <v>3234</v>
      </c>
      <c r="G93" s="45" t="s">
        <v>3236</v>
      </c>
      <c r="H93" s="45" t="s">
        <v>3239</v>
      </c>
      <c r="I93" s="45" t="s">
        <v>3231</v>
      </c>
      <c r="N93" s="13" t="str">
        <f>Show!$B$109&amp;"S.23.03.01.05 Rows {"&amp;COLUMN($C$1)&amp;"}"&amp;"@ForceFilingCode:true"</f>
        <v>!S.23.03.01.05 Rows {3}@ForceFilingCode:true</v>
      </c>
      <c r="O93" s="13" t="str">
        <f>Show!$B$109&amp;"S.23.03.01.05 Columns {"&amp;COLUMN($D$1)&amp;"}"</f>
        <v>!S.23.03.01.05 Columns {4}</v>
      </c>
    </row>
    <row r="94" spans="2:15">
      <c r="B94" s="43" t="s">
        <v>2880</v>
      </c>
      <c r="C94" s="44" t="s">
        <v>2878</v>
      </c>
      <c r="D94" s="58"/>
      <c r="E94" s="67"/>
      <c r="F94" s="67"/>
      <c r="G94" s="67"/>
      <c r="H94" s="67"/>
      <c r="I94" s="59"/>
    </row>
    <row r="95" spans="2:15">
      <c r="B95" s="47" t="s">
        <v>4495</v>
      </c>
      <c r="C95" s="44" t="s">
        <v>2878</v>
      </c>
      <c r="D95" s="56"/>
      <c r="E95" s="66"/>
      <c r="F95" s="66"/>
      <c r="G95" s="66"/>
      <c r="H95" s="66"/>
      <c r="I95" s="57"/>
    </row>
    <row r="96" spans="2:15">
      <c r="B96" s="49" t="s">
        <v>2545</v>
      </c>
      <c r="C96" s="41" t="s">
        <v>3066</v>
      </c>
      <c r="D96" s="60"/>
      <c r="E96" s="60"/>
      <c r="F96" s="60"/>
      <c r="G96" s="60"/>
      <c r="H96" s="60"/>
      <c r="I96" s="60"/>
    </row>
    <row r="97" spans="2:15">
      <c r="B97" s="49" t="s">
        <v>2548</v>
      </c>
      <c r="C97" s="41" t="s">
        <v>3068</v>
      </c>
      <c r="D97" s="60"/>
      <c r="E97" s="60"/>
      <c r="F97" s="60"/>
      <c r="G97" s="60"/>
      <c r="H97" s="60"/>
      <c r="I97" s="60"/>
    </row>
    <row r="98" spans="2:15">
      <c r="B98" s="49" t="s">
        <v>2549</v>
      </c>
      <c r="C98" s="41" t="s">
        <v>3070</v>
      </c>
      <c r="D98" s="60"/>
      <c r="E98" s="60"/>
      <c r="F98" s="60"/>
      <c r="G98" s="60"/>
      <c r="H98" s="60"/>
      <c r="I98" s="60"/>
    </row>
    <row r="99" spans="2:15">
      <c r="B99" s="47" t="s">
        <v>4454</v>
      </c>
      <c r="C99" s="41" t="s">
        <v>3120</v>
      </c>
      <c r="D99" s="60"/>
      <c r="E99" s="60"/>
      <c r="F99" s="60"/>
      <c r="G99" s="60"/>
      <c r="H99" s="60"/>
      <c r="I99" s="60"/>
    </row>
    <row r="101" spans="2:15">
      <c r="N101" s="13" t="str">
        <f>Show!$B$109&amp;Show!$B$109&amp;"S.23.03.01.05 Rows {"&amp;COLUMN($C$1)&amp;"}"</f>
        <v>!!S.23.03.01.05 Rows {3}</v>
      </c>
      <c r="O101" s="13" t="str">
        <f>Show!$B$109&amp;Show!$B$109&amp;"S.23.03.01.05 Columns {"&amp;COLUMN($I$1)&amp;"}"</f>
        <v>!!S.23.03.01.05 Columns {9}</v>
      </c>
    </row>
    <row r="103" spans="2:15" ht="18.75">
      <c r="B103" s="88" t="s">
        <v>4496</v>
      </c>
      <c r="C103" s="87"/>
      <c r="D103" s="87"/>
      <c r="E103" s="87"/>
      <c r="F103" s="87"/>
      <c r="G103" s="87"/>
      <c r="H103" s="87"/>
      <c r="I103" s="87"/>
      <c r="J103" s="87"/>
      <c r="K103" s="87"/>
      <c r="L103" s="87"/>
    </row>
    <row r="107" spans="2:15">
      <c r="D107" s="92" t="s">
        <v>2877</v>
      </c>
      <c r="E107" s="94"/>
    </row>
    <row r="108" spans="2:15">
      <c r="D108" s="95"/>
      <c r="E108" s="97"/>
    </row>
    <row r="109" spans="2:15">
      <c r="D109" s="55" t="s">
        <v>4476</v>
      </c>
      <c r="E109" s="55" t="s">
        <v>4479</v>
      </c>
    </row>
    <row r="110" spans="2:15">
      <c r="D110" s="45" t="s">
        <v>2879</v>
      </c>
      <c r="E110" s="45" t="s">
        <v>3231</v>
      </c>
      <c r="N110" s="13" t="str">
        <f>Show!$B$109&amp;"S.23.03.01.06 Rows {"&amp;COLUMN($C$1)&amp;"}"&amp;"@ForceFilingCode:true"</f>
        <v>!S.23.03.01.06 Rows {3}@ForceFilingCode:true</v>
      </c>
      <c r="O110" s="13" t="str">
        <f>Show!$B$109&amp;"S.23.03.01.06 Columns {"&amp;COLUMN($D$1)&amp;"}"</f>
        <v>!S.23.03.01.06 Columns {4}</v>
      </c>
    </row>
    <row r="111" spans="2:15">
      <c r="B111" s="43" t="s">
        <v>2880</v>
      </c>
      <c r="C111" s="44" t="s">
        <v>2878</v>
      </c>
      <c r="D111" s="56"/>
      <c r="E111" s="57"/>
    </row>
    <row r="112" spans="2:15">
      <c r="B112" s="47" t="s">
        <v>4353</v>
      </c>
      <c r="C112" s="41" t="s">
        <v>3140</v>
      </c>
      <c r="D112" s="60"/>
      <c r="E112" s="60"/>
    </row>
    <row r="114" spans="2:15">
      <c r="N114" s="13" t="str">
        <f>Show!$B$109&amp;Show!$B$109&amp;"S.23.03.01.06 Rows {"&amp;COLUMN($C$1)&amp;"}"</f>
        <v>!!S.23.03.01.06 Rows {3}</v>
      </c>
      <c r="O114" s="13" t="str">
        <f>Show!$B$109&amp;Show!$B$109&amp;"S.23.03.01.06 Columns {"&amp;COLUMN($E$1)&amp;"}"</f>
        <v>!!S.23.03.01.06 Columns {5}</v>
      </c>
    </row>
    <row r="116" spans="2:15" ht="18.75">
      <c r="B116" s="88" t="s">
        <v>4497</v>
      </c>
      <c r="C116" s="87"/>
      <c r="D116" s="87"/>
      <c r="E116" s="87"/>
      <c r="F116" s="87"/>
      <c r="G116" s="87"/>
      <c r="H116" s="87"/>
      <c r="I116" s="87"/>
      <c r="J116" s="87"/>
      <c r="K116" s="87"/>
      <c r="L116" s="87"/>
    </row>
    <row r="120" spans="2:15">
      <c r="D120" s="92" t="s">
        <v>2877</v>
      </c>
      <c r="E120" s="93"/>
      <c r="F120" s="93"/>
      <c r="G120" s="93"/>
      <c r="H120" s="94"/>
    </row>
    <row r="121" spans="2:15">
      <c r="D121" s="95"/>
      <c r="E121" s="96"/>
      <c r="F121" s="96"/>
      <c r="G121" s="96"/>
      <c r="H121" s="97"/>
    </row>
    <row r="122" spans="2:15">
      <c r="D122" s="89" t="s">
        <v>4476</v>
      </c>
      <c r="E122" s="89" t="s">
        <v>4485</v>
      </c>
      <c r="F122" s="89" t="s">
        <v>4486</v>
      </c>
      <c r="G122" s="89" t="s">
        <v>4487</v>
      </c>
      <c r="H122" s="89" t="s">
        <v>4479</v>
      </c>
    </row>
    <row r="123" spans="2:15">
      <c r="D123" s="91"/>
      <c r="E123" s="91"/>
      <c r="F123" s="91"/>
      <c r="G123" s="91"/>
      <c r="H123" s="91"/>
    </row>
    <row r="124" spans="2:15">
      <c r="D124" s="45" t="s">
        <v>2879</v>
      </c>
      <c r="E124" s="45" t="s">
        <v>3233</v>
      </c>
      <c r="F124" s="45" t="s">
        <v>3234</v>
      </c>
      <c r="G124" s="45" t="s">
        <v>3236</v>
      </c>
      <c r="H124" s="45" t="s">
        <v>3231</v>
      </c>
      <c r="N124" s="13" t="str">
        <f>Show!$B$109&amp;"S.23.03.01.07 Rows {"&amp;COLUMN($C$1)&amp;"}"&amp;"@ForceFilingCode:true"</f>
        <v>!S.23.03.01.07 Rows {3}@ForceFilingCode:true</v>
      </c>
      <c r="O124" s="13" t="str">
        <f>Show!$B$109&amp;"S.23.03.01.07 Columns {"&amp;COLUMN($D$1)&amp;"}"</f>
        <v>!S.23.03.01.07 Columns {4}</v>
      </c>
    </row>
    <row r="125" spans="2:15">
      <c r="B125" s="43" t="s">
        <v>2880</v>
      </c>
      <c r="C125" s="44" t="s">
        <v>2878</v>
      </c>
      <c r="D125" s="58"/>
      <c r="E125" s="67"/>
      <c r="F125" s="67"/>
      <c r="G125" s="67"/>
      <c r="H125" s="59"/>
    </row>
    <row r="126" spans="2:15" ht="30">
      <c r="B126" s="47" t="s">
        <v>4498</v>
      </c>
      <c r="C126" s="44" t="s">
        <v>2878</v>
      </c>
      <c r="D126" s="56"/>
      <c r="E126" s="66"/>
      <c r="F126" s="66"/>
      <c r="G126" s="66"/>
      <c r="H126" s="57"/>
    </row>
    <row r="127" spans="2:15">
      <c r="B127" s="49" t="s">
        <v>4499</v>
      </c>
      <c r="C127" s="41" t="s">
        <v>3315</v>
      </c>
      <c r="D127" s="60"/>
      <c r="E127" s="60"/>
      <c r="F127" s="60"/>
      <c r="G127" s="60"/>
      <c r="H127" s="60"/>
    </row>
    <row r="128" spans="2:15">
      <c r="B128" s="49" t="s">
        <v>4500</v>
      </c>
      <c r="C128" s="41" t="s">
        <v>3496</v>
      </c>
      <c r="D128" s="60"/>
      <c r="E128" s="60"/>
      <c r="F128" s="60"/>
      <c r="G128" s="60"/>
      <c r="H128" s="60"/>
    </row>
    <row r="129" spans="2:15">
      <c r="B129" s="49" t="s">
        <v>2548</v>
      </c>
      <c r="C129" s="41" t="s">
        <v>3497</v>
      </c>
      <c r="D129" s="60"/>
      <c r="E129" s="60"/>
      <c r="F129" s="60"/>
      <c r="G129" s="60"/>
      <c r="H129" s="60"/>
    </row>
    <row r="130" spans="2:15">
      <c r="B130" s="49" t="s">
        <v>2549</v>
      </c>
      <c r="C130" s="41" t="s">
        <v>3498</v>
      </c>
      <c r="D130" s="60"/>
      <c r="E130" s="60"/>
      <c r="F130" s="60"/>
      <c r="G130" s="60"/>
      <c r="H130" s="60"/>
    </row>
    <row r="131" spans="2:15" ht="30">
      <c r="B131" s="47" t="s">
        <v>4501</v>
      </c>
      <c r="C131" s="41" t="s">
        <v>3500</v>
      </c>
      <c r="D131" s="60"/>
      <c r="E131" s="60"/>
      <c r="F131" s="60"/>
      <c r="G131" s="60"/>
      <c r="H131" s="60"/>
    </row>
    <row r="133" spans="2:15">
      <c r="N133" s="13" t="str">
        <f>Show!$B$109&amp;Show!$B$109&amp;"S.23.03.01.07 Rows {"&amp;COLUMN($C$1)&amp;"}"</f>
        <v>!!S.23.03.01.07 Rows {3}</v>
      </c>
      <c r="O133" s="13" t="str">
        <f>Show!$B$109&amp;Show!$B$109&amp;"S.23.03.01.07 Columns {"&amp;COLUMN($H$1)&amp;"}"</f>
        <v>!!S.23.03.01.07 Columns {8}</v>
      </c>
    </row>
    <row r="135" spans="2:15" ht="18.75">
      <c r="B135" s="88" t="s">
        <v>4502</v>
      </c>
      <c r="C135" s="87"/>
      <c r="D135" s="87"/>
      <c r="E135" s="87"/>
      <c r="F135" s="87"/>
      <c r="G135" s="87"/>
      <c r="H135" s="87"/>
      <c r="I135" s="87"/>
      <c r="J135" s="87"/>
      <c r="K135" s="87"/>
      <c r="L135" s="87"/>
    </row>
    <row r="139" spans="2:15">
      <c r="D139" s="92" t="s">
        <v>2877</v>
      </c>
      <c r="E139" s="93"/>
      <c r="F139" s="93"/>
      <c r="G139" s="93"/>
      <c r="H139" s="94"/>
    </row>
    <row r="140" spans="2:15">
      <c r="D140" s="95"/>
      <c r="E140" s="96"/>
      <c r="F140" s="96"/>
      <c r="G140" s="96"/>
      <c r="H140" s="97"/>
    </row>
    <row r="141" spans="2:15">
      <c r="D141" s="89" t="s">
        <v>4476</v>
      </c>
      <c r="E141" s="89" t="s">
        <v>4503</v>
      </c>
      <c r="F141" s="89" t="s">
        <v>4504</v>
      </c>
      <c r="G141" s="89" t="s">
        <v>4505</v>
      </c>
      <c r="H141" s="89" t="s">
        <v>4479</v>
      </c>
    </row>
    <row r="142" spans="2:15">
      <c r="D142" s="91"/>
      <c r="E142" s="91"/>
      <c r="F142" s="91"/>
      <c r="G142" s="91"/>
      <c r="H142" s="91"/>
    </row>
    <row r="143" spans="2:15">
      <c r="D143" s="45" t="s">
        <v>2879</v>
      </c>
      <c r="E143" s="45" t="s">
        <v>3241</v>
      </c>
      <c r="F143" s="45" t="s">
        <v>3243</v>
      </c>
      <c r="G143" s="45" t="s">
        <v>3375</v>
      </c>
      <c r="H143" s="45" t="s">
        <v>3231</v>
      </c>
      <c r="N143" s="13" t="str">
        <f>Show!$B$109&amp;"S.23.03.01.08 Rows {"&amp;COLUMN($C$1)&amp;"}"&amp;"@ForceFilingCode:true"</f>
        <v>!S.23.03.01.08 Rows {3}@ForceFilingCode:true</v>
      </c>
      <c r="O143" s="13" t="str">
        <f>Show!$B$109&amp;"S.23.03.01.08 Columns {"&amp;COLUMN($D$1)&amp;"}"</f>
        <v>!S.23.03.01.08 Columns {4}</v>
      </c>
    </row>
    <row r="144" spans="2:15">
      <c r="B144" s="43" t="s">
        <v>2880</v>
      </c>
      <c r="C144" s="44" t="s">
        <v>2878</v>
      </c>
      <c r="D144" s="58"/>
      <c r="E144" s="67"/>
      <c r="F144" s="67"/>
      <c r="G144" s="67"/>
      <c r="H144" s="59"/>
    </row>
    <row r="145" spans="2:15">
      <c r="B145" s="47" t="s">
        <v>4506</v>
      </c>
      <c r="C145" s="44" t="s">
        <v>2878</v>
      </c>
      <c r="D145" s="56"/>
      <c r="E145" s="66"/>
      <c r="F145" s="66"/>
      <c r="G145" s="66"/>
      <c r="H145" s="57"/>
    </row>
    <row r="146" spans="2:15">
      <c r="B146" s="49" t="s">
        <v>2548</v>
      </c>
      <c r="C146" s="41" t="s">
        <v>4507</v>
      </c>
      <c r="D146" s="60"/>
      <c r="E146" s="60"/>
      <c r="F146" s="60"/>
      <c r="G146" s="60"/>
      <c r="H146" s="60"/>
    </row>
    <row r="147" spans="2:15">
      <c r="B147" s="49" t="s">
        <v>2549</v>
      </c>
      <c r="C147" s="41" t="s">
        <v>4508</v>
      </c>
      <c r="D147" s="60"/>
      <c r="E147" s="60"/>
      <c r="F147" s="60"/>
      <c r="G147" s="60"/>
      <c r="H147" s="60"/>
    </row>
    <row r="148" spans="2:15">
      <c r="B148" s="47" t="s">
        <v>4368</v>
      </c>
      <c r="C148" s="41" t="s">
        <v>3502</v>
      </c>
      <c r="D148" s="60"/>
      <c r="E148" s="60"/>
      <c r="F148" s="60"/>
      <c r="G148" s="60"/>
      <c r="H148" s="60"/>
    </row>
    <row r="150" spans="2:15">
      <c r="N150" s="13" t="str">
        <f>Show!$B$109&amp;Show!$B$109&amp;"S.23.03.01.08 Rows {"&amp;COLUMN($C$1)&amp;"}"</f>
        <v>!!S.23.03.01.08 Rows {3}</v>
      </c>
      <c r="O150" s="13" t="str">
        <f>Show!$B$109&amp;Show!$B$109&amp;"S.23.03.01.08 Columns {"&amp;COLUMN($H$1)&amp;"}"</f>
        <v>!!S.23.03.01.08 Columns {8}</v>
      </c>
    </row>
  </sheetData>
  <sheetProtection sheet="1" objects="1" scenarios="1"/>
  <mergeCells count="47">
    <mergeCell ref="B2:O2"/>
    <mergeCell ref="B5:L5"/>
    <mergeCell ref="D9:G10"/>
    <mergeCell ref="D11:D12"/>
    <mergeCell ref="E11:E12"/>
    <mergeCell ref="F11:F12"/>
    <mergeCell ref="G11:G12"/>
    <mergeCell ref="B31:L31"/>
    <mergeCell ref="D35:I36"/>
    <mergeCell ref="D37:D38"/>
    <mergeCell ref="E37:E38"/>
    <mergeCell ref="F37:F38"/>
    <mergeCell ref="G37:G38"/>
    <mergeCell ref="H37:H38"/>
    <mergeCell ref="I37:I38"/>
    <mergeCell ref="B49:L49"/>
    <mergeCell ref="D53:E54"/>
    <mergeCell ref="B62:L62"/>
    <mergeCell ref="D66:G67"/>
    <mergeCell ref="D68:D69"/>
    <mergeCell ref="E68:E69"/>
    <mergeCell ref="F68:F69"/>
    <mergeCell ref="G68:G69"/>
    <mergeCell ref="B85:L85"/>
    <mergeCell ref="D89:I90"/>
    <mergeCell ref="D91:D92"/>
    <mergeCell ref="E91:E92"/>
    <mergeCell ref="F91:F92"/>
    <mergeCell ref="G91:G92"/>
    <mergeCell ref="H91:H92"/>
    <mergeCell ref="I91:I92"/>
    <mergeCell ref="B103:L103"/>
    <mergeCell ref="D107:E108"/>
    <mergeCell ref="B116:L116"/>
    <mergeCell ref="D120:H121"/>
    <mergeCell ref="D122:D123"/>
    <mergeCell ref="E122:E123"/>
    <mergeCell ref="F122:F123"/>
    <mergeCell ref="G122:G123"/>
    <mergeCell ref="H122:H123"/>
    <mergeCell ref="B135:L135"/>
    <mergeCell ref="D139:H140"/>
    <mergeCell ref="D141:D142"/>
    <mergeCell ref="E141:E142"/>
    <mergeCell ref="F141:F142"/>
    <mergeCell ref="G141:G142"/>
    <mergeCell ref="H141:H142"/>
  </mergeCells>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C7EC4-150A-406F-9774-B45C7BBD527F}">
  <sheetPr codeName="Blad114"/>
  <dimension ref="B2:O150"/>
  <sheetViews>
    <sheetView showGridLines="0" workbookViewId="0"/>
  </sheetViews>
  <sheetFormatPr defaultRowHeight="15"/>
  <cols>
    <col min="2" max="2" width="83.7109375" bestFit="1" customWidth="1"/>
    <col min="4" max="9" width="15.7109375" customWidth="1"/>
  </cols>
  <sheetData>
    <row r="2" spans="2:15" ht="23.25">
      <c r="B2" s="86" t="s">
        <v>677</v>
      </c>
      <c r="C2" s="87"/>
      <c r="D2" s="87"/>
      <c r="E2" s="87"/>
      <c r="F2" s="87"/>
      <c r="G2" s="87"/>
      <c r="H2" s="87"/>
      <c r="I2" s="87"/>
      <c r="J2" s="87"/>
      <c r="K2" s="87"/>
      <c r="L2" s="87"/>
      <c r="M2" s="87"/>
      <c r="N2" s="87"/>
      <c r="O2" s="87"/>
    </row>
    <row r="5" spans="2:15" ht="18.75">
      <c r="B5" s="88" t="s">
        <v>4509</v>
      </c>
      <c r="C5" s="87"/>
      <c r="D5" s="87"/>
      <c r="E5" s="87"/>
      <c r="F5" s="87"/>
      <c r="G5" s="87"/>
      <c r="H5" s="87"/>
      <c r="I5" s="87"/>
      <c r="J5" s="87"/>
      <c r="K5" s="87"/>
      <c r="L5" s="87"/>
    </row>
    <row r="9" spans="2:15">
      <c r="D9" s="92" t="s">
        <v>2877</v>
      </c>
      <c r="E9" s="93"/>
      <c r="F9" s="93"/>
      <c r="G9" s="94"/>
    </row>
    <row r="10" spans="2:15">
      <c r="D10" s="95"/>
      <c r="E10" s="96"/>
      <c r="F10" s="96"/>
      <c r="G10" s="97"/>
    </row>
    <row r="11" spans="2:15">
      <c r="D11" s="89" t="s">
        <v>4476</v>
      </c>
      <c r="E11" s="89" t="s">
        <v>4477</v>
      </c>
      <c r="F11" s="89" t="s">
        <v>4478</v>
      </c>
      <c r="G11" s="89" t="s">
        <v>4479</v>
      </c>
    </row>
    <row r="12" spans="2:15">
      <c r="D12" s="91"/>
      <c r="E12" s="91"/>
      <c r="F12" s="91"/>
      <c r="G12" s="91"/>
    </row>
    <row r="13" spans="2:15">
      <c r="D13" s="45" t="s">
        <v>2879</v>
      </c>
      <c r="E13" s="45" t="s">
        <v>3219</v>
      </c>
      <c r="F13" s="45" t="s">
        <v>3225</v>
      </c>
      <c r="G13" s="45" t="s">
        <v>3231</v>
      </c>
      <c r="N13" s="13" t="str">
        <f>Show!$B$110&amp;"S.23.03.04.01 Rows {"&amp;COLUMN($C$1)&amp;"}"&amp;"@ForceFilingCode:true"</f>
        <v>!S.23.03.04.01 Rows {3}@ForceFilingCode:true</v>
      </c>
      <c r="O13" s="13" t="str">
        <f>Show!$B$110&amp;"S.23.03.04.01 Columns {"&amp;COLUMN($D$1)&amp;"}"</f>
        <v>!S.23.03.04.01 Columns {4}</v>
      </c>
    </row>
    <row r="14" spans="2:15">
      <c r="B14" s="43" t="s">
        <v>2880</v>
      </c>
      <c r="C14" s="44" t="s">
        <v>2878</v>
      </c>
      <c r="D14" s="58"/>
      <c r="E14" s="67"/>
      <c r="F14" s="67"/>
      <c r="G14" s="59"/>
    </row>
    <row r="15" spans="2:15">
      <c r="B15" s="47" t="s">
        <v>4480</v>
      </c>
      <c r="C15" s="44" t="s">
        <v>2878</v>
      </c>
      <c r="D15" s="56"/>
      <c r="E15" s="66"/>
      <c r="F15" s="66"/>
      <c r="G15" s="57"/>
    </row>
    <row r="16" spans="2:15">
      <c r="B16" s="49" t="s">
        <v>4436</v>
      </c>
      <c r="C16" s="41" t="s">
        <v>2883</v>
      </c>
      <c r="D16" s="60"/>
      <c r="E16" s="60"/>
      <c r="F16" s="60"/>
      <c r="G16" s="60"/>
    </row>
    <row r="17" spans="2:15">
      <c r="B17" s="49" t="s">
        <v>4437</v>
      </c>
      <c r="C17" s="41" t="s">
        <v>2885</v>
      </c>
      <c r="D17" s="60"/>
      <c r="E17" s="60"/>
      <c r="F17" s="60"/>
      <c r="G17" s="60"/>
    </row>
    <row r="18" spans="2:15">
      <c r="B18" s="49" t="s">
        <v>4438</v>
      </c>
      <c r="C18" s="41" t="s">
        <v>2887</v>
      </c>
      <c r="D18" s="60"/>
      <c r="E18" s="60"/>
      <c r="F18" s="60"/>
      <c r="G18" s="60"/>
    </row>
    <row r="19" spans="2:15">
      <c r="B19" s="47" t="s">
        <v>4439</v>
      </c>
      <c r="C19" s="41" t="s">
        <v>2899</v>
      </c>
      <c r="D19" s="63"/>
      <c r="E19" s="63"/>
      <c r="F19" s="63"/>
      <c r="G19" s="63"/>
    </row>
    <row r="20" spans="2:15" ht="30">
      <c r="B20" s="47" t="s">
        <v>4481</v>
      </c>
      <c r="C20" s="44" t="s">
        <v>2878</v>
      </c>
      <c r="D20" s="56"/>
      <c r="E20" s="66"/>
      <c r="F20" s="66"/>
      <c r="G20" s="57"/>
    </row>
    <row r="21" spans="2:15">
      <c r="B21" s="49" t="s">
        <v>2545</v>
      </c>
      <c r="C21" s="41" t="s">
        <v>2901</v>
      </c>
      <c r="D21" s="60"/>
      <c r="E21" s="60"/>
      <c r="F21" s="60"/>
      <c r="G21" s="60"/>
    </row>
    <row r="22" spans="2:15">
      <c r="B22" s="49" t="s">
        <v>2548</v>
      </c>
      <c r="C22" s="41" t="s">
        <v>2903</v>
      </c>
      <c r="D22" s="60"/>
      <c r="E22" s="60"/>
      <c r="F22" s="60"/>
      <c r="G22" s="60"/>
    </row>
    <row r="23" spans="2:15">
      <c r="B23" s="47" t="s">
        <v>3480</v>
      </c>
      <c r="C23" s="41" t="s">
        <v>2919</v>
      </c>
      <c r="D23" s="63"/>
      <c r="E23" s="63"/>
      <c r="F23" s="63"/>
      <c r="G23" s="63"/>
    </row>
    <row r="24" spans="2:15" ht="30">
      <c r="B24" s="47" t="s">
        <v>4482</v>
      </c>
      <c r="C24" s="44" t="s">
        <v>2878</v>
      </c>
      <c r="D24" s="56"/>
      <c r="E24" s="66"/>
      <c r="F24" s="66"/>
      <c r="G24" s="57"/>
    </row>
    <row r="25" spans="2:15">
      <c r="B25" s="49" t="s">
        <v>4436</v>
      </c>
      <c r="C25" s="41" t="s">
        <v>2921</v>
      </c>
      <c r="D25" s="60"/>
      <c r="E25" s="60"/>
      <c r="F25" s="60"/>
      <c r="G25" s="60"/>
    </row>
    <row r="26" spans="2:15">
      <c r="B26" s="49" t="s">
        <v>4437</v>
      </c>
      <c r="C26" s="41" t="s">
        <v>2923</v>
      </c>
      <c r="D26" s="60"/>
      <c r="E26" s="60"/>
      <c r="F26" s="60"/>
      <c r="G26" s="60"/>
    </row>
    <row r="27" spans="2:15" ht="30">
      <c r="B27" s="47" t="s">
        <v>4483</v>
      </c>
      <c r="C27" s="41" t="s">
        <v>2939</v>
      </c>
      <c r="D27" s="60"/>
      <c r="E27" s="60"/>
      <c r="F27" s="60"/>
      <c r="G27" s="60"/>
    </row>
    <row r="29" spans="2:15">
      <c r="N29" s="13" t="str">
        <f>Show!$B$110&amp;Show!$B$110&amp;"S.23.03.04.01 Rows {"&amp;COLUMN($C$1)&amp;"}"</f>
        <v>!!S.23.03.04.01 Rows {3}</v>
      </c>
      <c r="O29" s="13" t="str">
        <f>Show!$B$110&amp;Show!$B$110&amp;"S.23.03.04.01 Columns {"&amp;COLUMN($G$1)&amp;"}"</f>
        <v>!!S.23.03.04.01 Columns {7}</v>
      </c>
    </row>
    <row r="31" spans="2:15" ht="18.75">
      <c r="B31" s="88" t="s">
        <v>4510</v>
      </c>
      <c r="C31" s="87"/>
      <c r="D31" s="87"/>
      <c r="E31" s="87"/>
      <c r="F31" s="87"/>
      <c r="G31" s="87"/>
      <c r="H31" s="87"/>
      <c r="I31" s="87"/>
      <c r="J31" s="87"/>
      <c r="K31" s="87"/>
      <c r="L31" s="87"/>
    </row>
    <row r="35" spans="2:15">
      <c r="D35" s="92" t="s">
        <v>2877</v>
      </c>
      <c r="E35" s="93"/>
      <c r="F35" s="93"/>
      <c r="G35" s="93"/>
      <c r="H35" s="93"/>
      <c r="I35" s="94"/>
    </row>
    <row r="36" spans="2:15">
      <c r="D36" s="95"/>
      <c r="E36" s="96"/>
      <c r="F36" s="96"/>
      <c r="G36" s="96"/>
      <c r="H36" s="96"/>
      <c r="I36" s="97"/>
    </row>
    <row r="37" spans="2:15">
      <c r="D37" s="89" t="s">
        <v>4476</v>
      </c>
      <c r="E37" s="89" t="s">
        <v>4485</v>
      </c>
      <c r="F37" s="89" t="s">
        <v>4486</v>
      </c>
      <c r="G37" s="89" t="s">
        <v>4487</v>
      </c>
      <c r="H37" s="89" t="s">
        <v>4488</v>
      </c>
      <c r="I37" s="89" t="s">
        <v>4479</v>
      </c>
    </row>
    <row r="38" spans="2:15">
      <c r="D38" s="91"/>
      <c r="E38" s="91"/>
      <c r="F38" s="91"/>
      <c r="G38" s="91"/>
      <c r="H38" s="91"/>
      <c r="I38" s="91"/>
    </row>
    <row r="39" spans="2:15">
      <c r="D39" s="45" t="s">
        <v>2879</v>
      </c>
      <c r="E39" s="45" t="s">
        <v>3233</v>
      </c>
      <c r="F39" s="45" t="s">
        <v>3234</v>
      </c>
      <c r="G39" s="45" t="s">
        <v>3236</v>
      </c>
      <c r="H39" s="45" t="s">
        <v>3239</v>
      </c>
      <c r="I39" s="45" t="s">
        <v>3231</v>
      </c>
      <c r="N39" s="13" t="str">
        <f>Show!$B$110&amp;"S.23.03.04.02 Rows {"&amp;COLUMN($C$1)&amp;"}"&amp;"@ForceFilingCode:true"</f>
        <v>!S.23.03.04.02 Rows {3}@ForceFilingCode:true</v>
      </c>
      <c r="O39" s="13" t="str">
        <f>Show!$B$110&amp;"S.23.03.04.02 Columns {"&amp;COLUMN($D$1)&amp;"}"</f>
        <v>!S.23.03.04.02 Columns {4}</v>
      </c>
    </row>
    <row r="40" spans="2:15">
      <c r="B40" s="43" t="s">
        <v>2880</v>
      </c>
      <c r="C40" s="44" t="s">
        <v>2878</v>
      </c>
      <c r="D40" s="58"/>
      <c r="E40" s="67"/>
      <c r="F40" s="67"/>
      <c r="G40" s="67"/>
      <c r="H40" s="67"/>
      <c r="I40" s="59"/>
    </row>
    <row r="41" spans="2:15">
      <c r="B41" s="47" t="s">
        <v>4489</v>
      </c>
      <c r="C41" s="44" t="s">
        <v>2878</v>
      </c>
      <c r="D41" s="56"/>
      <c r="E41" s="66"/>
      <c r="F41" s="66"/>
      <c r="G41" s="66"/>
      <c r="H41" s="66"/>
      <c r="I41" s="57"/>
    </row>
    <row r="42" spans="2:15">
      <c r="B42" s="49" t="s">
        <v>2545</v>
      </c>
      <c r="C42" s="41" t="s">
        <v>2941</v>
      </c>
      <c r="D42" s="60"/>
      <c r="E42" s="60"/>
      <c r="F42" s="60"/>
      <c r="G42" s="60"/>
      <c r="H42" s="60"/>
      <c r="I42" s="60"/>
    </row>
    <row r="43" spans="2:15">
      <c r="B43" s="49" t="s">
        <v>2548</v>
      </c>
      <c r="C43" s="41" t="s">
        <v>2943</v>
      </c>
      <c r="D43" s="60"/>
      <c r="E43" s="60"/>
      <c r="F43" s="60"/>
      <c r="G43" s="60"/>
      <c r="H43" s="60"/>
      <c r="I43" s="60"/>
    </row>
    <row r="44" spans="2:15">
      <c r="B44" s="49" t="s">
        <v>2549</v>
      </c>
      <c r="C44" s="41" t="s">
        <v>2945</v>
      </c>
      <c r="D44" s="60"/>
      <c r="E44" s="60"/>
      <c r="F44" s="60"/>
      <c r="G44" s="60"/>
      <c r="H44" s="60"/>
      <c r="I44" s="60"/>
    </row>
    <row r="45" spans="2:15">
      <c r="B45" s="47" t="s">
        <v>4446</v>
      </c>
      <c r="C45" s="41" t="s">
        <v>2959</v>
      </c>
      <c r="D45" s="60"/>
      <c r="E45" s="60"/>
      <c r="F45" s="60"/>
      <c r="G45" s="60"/>
      <c r="H45" s="60"/>
      <c r="I45" s="60"/>
    </row>
    <row r="47" spans="2:15">
      <c r="N47" s="13" t="str">
        <f>Show!$B$110&amp;Show!$B$110&amp;"S.23.03.04.02 Rows {"&amp;COLUMN($C$1)&amp;"}"</f>
        <v>!!S.23.03.04.02 Rows {3}</v>
      </c>
      <c r="O47" s="13" t="str">
        <f>Show!$B$110&amp;Show!$B$110&amp;"S.23.03.04.02 Columns {"&amp;COLUMN($I$1)&amp;"}"</f>
        <v>!!S.23.03.04.02 Columns {9}</v>
      </c>
    </row>
    <row r="49" spans="2:15" ht="18.75">
      <c r="B49" s="88" t="s">
        <v>4511</v>
      </c>
      <c r="C49" s="87"/>
      <c r="D49" s="87"/>
      <c r="E49" s="87"/>
      <c r="F49" s="87"/>
      <c r="G49" s="87"/>
      <c r="H49" s="87"/>
      <c r="I49" s="87"/>
      <c r="J49" s="87"/>
      <c r="K49" s="87"/>
      <c r="L49" s="87"/>
    </row>
    <row r="53" spans="2:15">
      <c r="D53" s="92" t="s">
        <v>2877</v>
      </c>
      <c r="E53" s="94"/>
    </row>
    <row r="54" spans="2:15">
      <c r="D54" s="95"/>
      <c r="E54" s="97"/>
    </row>
    <row r="55" spans="2:15">
      <c r="D55" s="55" t="s">
        <v>4476</v>
      </c>
      <c r="E55" s="55" t="s">
        <v>4479</v>
      </c>
    </row>
    <row r="56" spans="2:15">
      <c r="D56" s="45" t="s">
        <v>2879</v>
      </c>
      <c r="E56" s="45" t="s">
        <v>3231</v>
      </c>
      <c r="N56" s="13" t="str">
        <f>Show!$B$110&amp;"S.23.03.04.03 Rows {"&amp;COLUMN($C$1)&amp;"}"&amp;"@ForceFilingCode:true"</f>
        <v>!S.23.03.04.03 Rows {3}@ForceFilingCode:true</v>
      </c>
      <c r="O56" s="13" t="str">
        <f>Show!$B$110&amp;"S.23.03.04.03 Columns {"&amp;COLUMN($D$1)&amp;"}"</f>
        <v>!S.23.03.04.03 Columns {4}</v>
      </c>
    </row>
    <row r="57" spans="2:15">
      <c r="B57" s="43" t="s">
        <v>2880</v>
      </c>
      <c r="C57" s="44" t="s">
        <v>2878</v>
      </c>
      <c r="D57" s="56"/>
      <c r="E57" s="57"/>
    </row>
    <row r="58" spans="2:15">
      <c r="B58" s="47" t="s">
        <v>4349</v>
      </c>
      <c r="C58" s="41" t="s">
        <v>2977</v>
      </c>
      <c r="D58" s="60"/>
      <c r="E58" s="60"/>
    </row>
    <row r="60" spans="2:15">
      <c r="N60" s="13" t="str">
        <f>Show!$B$110&amp;Show!$B$110&amp;"S.23.03.04.03 Rows {"&amp;COLUMN($C$1)&amp;"}"</f>
        <v>!!S.23.03.04.03 Rows {3}</v>
      </c>
      <c r="O60" s="13" t="str">
        <f>Show!$B$110&amp;Show!$B$110&amp;"S.23.03.04.03 Columns {"&amp;COLUMN($E$1)&amp;"}"</f>
        <v>!!S.23.03.04.03 Columns {5}</v>
      </c>
    </row>
    <row r="62" spans="2:15" ht="18.75">
      <c r="B62" s="88" t="s">
        <v>4512</v>
      </c>
      <c r="C62" s="87"/>
      <c r="D62" s="87"/>
      <c r="E62" s="87"/>
      <c r="F62" s="87"/>
      <c r="G62" s="87"/>
      <c r="H62" s="87"/>
      <c r="I62" s="87"/>
      <c r="J62" s="87"/>
      <c r="K62" s="87"/>
      <c r="L62" s="87"/>
    </row>
    <row r="66" spans="2:15">
      <c r="D66" s="92" t="s">
        <v>2877</v>
      </c>
      <c r="E66" s="93"/>
      <c r="F66" s="93"/>
      <c r="G66" s="94"/>
    </row>
    <row r="67" spans="2:15">
      <c r="D67" s="95"/>
      <c r="E67" s="96"/>
      <c r="F67" s="96"/>
      <c r="G67" s="97"/>
    </row>
    <row r="68" spans="2:15">
      <c r="D68" s="89" t="s">
        <v>4476</v>
      </c>
      <c r="E68" s="89" t="s">
        <v>4477</v>
      </c>
      <c r="F68" s="89" t="s">
        <v>4478</v>
      </c>
      <c r="G68" s="89" t="s">
        <v>4479</v>
      </c>
    </row>
    <row r="69" spans="2:15">
      <c r="D69" s="91"/>
      <c r="E69" s="91"/>
      <c r="F69" s="91"/>
      <c r="G69" s="91"/>
    </row>
    <row r="70" spans="2:15">
      <c r="D70" s="45" t="s">
        <v>2879</v>
      </c>
      <c r="E70" s="45" t="s">
        <v>3219</v>
      </c>
      <c r="F70" s="45" t="s">
        <v>3225</v>
      </c>
      <c r="G70" s="45" t="s">
        <v>3231</v>
      </c>
      <c r="N70" s="13" t="str">
        <f>Show!$B$110&amp;"S.23.03.04.04 Rows {"&amp;COLUMN($C$1)&amp;"}"&amp;"@ForceFilingCode:true"</f>
        <v>!S.23.03.04.04 Rows {3}@ForceFilingCode:true</v>
      </c>
      <c r="O70" s="13" t="str">
        <f>Show!$B$110&amp;"S.23.03.04.04 Columns {"&amp;COLUMN($D$1)&amp;"}"</f>
        <v>!S.23.03.04.04 Columns {4}</v>
      </c>
    </row>
    <row r="71" spans="2:15">
      <c r="B71" s="43" t="s">
        <v>2880</v>
      </c>
      <c r="C71" s="44" t="s">
        <v>2878</v>
      </c>
      <c r="D71" s="58"/>
      <c r="E71" s="67"/>
      <c r="F71" s="67"/>
      <c r="G71" s="59"/>
    </row>
    <row r="72" spans="2:15">
      <c r="B72" s="47" t="s">
        <v>4492</v>
      </c>
      <c r="C72" s="44" t="s">
        <v>2878</v>
      </c>
      <c r="D72" s="56"/>
      <c r="E72" s="66"/>
      <c r="F72" s="66"/>
      <c r="G72" s="57"/>
    </row>
    <row r="73" spans="2:15">
      <c r="B73" s="49" t="s">
        <v>2545</v>
      </c>
      <c r="C73" s="41" t="s">
        <v>2979</v>
      </c>
      <c r="D73" s="60"/>
      <c r="E73" s="60"/>
      <c r="F73" s="60"/>
      <c r="G73" s="60"/>
    </row>
    <row r="74" spans="2:15">
      <c r="B74" s="49" t="s">
        <v>2548</v>
      </c>
      <c r="C74" s="41" t="s">
        <v>2981</v>
      </c>
      <c r="D74" s="60"/>
      <c r="E74" s="60"/>
      <c r="F74" s="60"/>
      <c r="G74" s="60"/>
    </row>
    <row r="75" spans="2:15">
      <c r="B75" s="49" t="s">
        <v>2549</v>
      </c>
      <c r="C75" s="41" t="s">
        <v>2983</v>
      </c>
      <c r="D75" s="60"/>
      <c r="E75" s="60"/>
      <c r="F75" s="60"/>
      <c r="G75" s="60"/>
    </row>
    <row r="76" spans="2:15">
      <c r="B76" s="47" t="s">
        <v>4450</v>
      </c>
      <c r="C76" s="41" t="s">
        <v>2997</v>
      </c>
      <c r="D76" s="63"/>
      <c r="E76" s="63"/>
      <c r="F76" s="63"/>
      <c r="G76" s="63"/>
    </row>
    <row r="77" spans="2:15">
      <c r="B77" s="47" t="s">
        <v>4493</v>
      </c>
      <c r="C77" s="44" t="s">
        <v>2878</v>
      </c>
      <c r="D77" s="56"/>
      <c r="E77" s="66"/>
      <c r="F77" s="66"/>
      <c r="G77" s="57"/>
    </row>
    <row r="78" spans="2:15">
      <c r="B78" s="49" t="s">
        <v>2545</v>
      </c>
      <c r="C78" s="41" t="s">
        <v>2999</v>
      </c>
      <c r="D78" s="60"/>
      <c r="E78" s="60"/>
      <c r="F78" s="60"/>
      <c r="G78" s="60"/>
    </row>
    <row r="79" spans="2:15">
      <c r="B79" s="49" t="s">
        <v>2548</v>
      </c>
      <c r="C79" s="41" t="s">
        <v>3001</v>
      </c>
      <c r="D79" s="60"/>
      <c r="E79" s="60"/>
      <c r="F79" s="60"/>
      <c r="G79" s="60"/>
    </row>
    <row r="80" spans="2:15">
      <c r="B80" s="49" t="s">
        <v>2549</v>
      </c>
      <c r="C80" s="41" t="s">
        <v>3003</v>
      </c>
      <c r="D80" s="60"/>
      <c r="E80" s="60"/>
      <c r="F80" s="60"/>
      <c r="G80" s="60"/>
    </row>
    <row r="81" spans="2:15">
      <c r="B81" s="47" t="s">
        <v>3480</v>
      </c>
      <c r="C81" s="41" t="s">
        <v>3064</v>
      </c>
      <c r="D81" s="60"/>
      <c r="E81" s="60"/>
      <c r="F81" s="60"/>
      <c r="G81" s="60"/>
    </row>
    <row r="83" spans="2:15">
      <c r="N83" s="13" t="str">
        <f>Show!$B$110&amp;Show!$B$110&amp;"S.23.03.04.04 Rows {"&amp;COLUMN($C$1)&amp;"}"</f>
        <v>!!S.23.03.04.04 Rows {3}</v>
      </c>
      <c r="O83" s="13" t="str">
        <f>Show!$B$110&amp;Show!$B$110&amp;"S.23.03.04.04 Columns {"&amp;COLUMN($G$1)&amp;"}"</f>
        <v>!!S.23.03.04.04 Columns {7}</v>
      </c>
    </row>
    <row r="85" spans="2:15" ht="18.75">
      <c r="B85" s="88" t="s">
        <v>4513</v>
      </c>
      <c r="C85" s="87"/>
      <c r="D85" s="87"/>
      <c r="E85" s="87"/>
      <c r="F85" s="87"/>
      <c r="G85" s="87"/>
      <c r="H85" s="87"/>
      <c r="I85" s="87"/>
      <c r="J85" s="87"/>
      <c r="K85" s="87"/>
      <c r="L85" s="87"/>
    </row>
    <row r="89" spans="2:15">
      <c r="D89" s="92" t="s">
        <v>2877</v>
      </c>
      <c r="E89" s="93"/>
      <c r="F89" s="93"/>
      <c r="G89" s="93"/>
      <c r="H89" s="93"/>
      <c r="I89" s="94"/>
    </row>
    <row r="90" spans="2:15">
      <c r="D90" s="95"/>
      <c r="E90" s="96"/>
      <c r="F90" s="96"/>
      <c r="G90" s="96"/>
      <c r="H90" s="96"/>
      <c r="I90" s="97"/>
    </row>
    <row r="91" spans="2:15">
      <c r="D91" s="89" t="s">
        <v>4476</v>
      </c>
      <c r="E91" s="89" t="s">
        <v>4485</v>
      </c>
      <c r="F91" s="89" t="s">
        <v>4486</v>
      </c>
      <c r="G91" s="89" t="s">
        <v>4487</v>
      </c>
      <c r="H91" s="89" t="s">
        <v>4488</v>
      </c>
      <c r="I91" s="89" t="s">
        <v>4479</v>
      </c>
    </row>
    <row r="92" spans="2:15">
      <c r="D92" s="91"/>
      <c r="E92" s="91"/>
      <c r="F92" s="91"/>
      <c r="G92" s="91"/>
      <c r="H92" s="91"/>
      <c r="I92" s="91"/>
    </row>
    <row r="93" spans="2:15">
      <c r="D93" s="45" t="s">
        <v>2879</v>
      </c>
      <c r="E93" s="45" t="s">
        <v>3233</v>
      </c>
      <c r="F93" s="45" t="s">
        <v>3234</v>
      </c>
      <c r="G93" s="45" t="s">
        <v>3236</v>
      </c>
      <c r="H93" s="45" t="s">
        <v>3239</v>
      </c>
      <c r="I93" s="45" t="s">
        <v>3231</v>
      </c>
      <c r="N93" s="13" t="str">
        <f>Show!$B$110&amp;"S.23.03.04.05 Rows {"&amp;COLUMN($C$1)&amp;"}"&amp;"@ForceFilingCode:true"</f>
        <v>!S.23.03.04.05 Rows {3}@ForceFilingCode:true</v>
      </c>
      <c r="O93" s="13" t="str">
        <f>Show!$B$110&amp;"S.23.03.04.05 Columns {"&amp;COLUMN($D$1)&amp;"}"</f>
        <v>!S.23.03.04.05 Columns {4}</v>
      </c>
    </row>
    <row r="94" spans="2:15">
      <c r="B94" s="43" t="s">
        <v>2880</v>
      </c>
      <c r="C94" s="44" t="s">
        <v>2878</v>
      </c>
      <c r="D94" s="58"/>
      <c r="E94" s="67"/>
      <c r="F94" s="67"/>
      <c r="G94" s="67"/>
      <c r="H94" s="67"/>
      <c r="I94" s="59"/>
    </row>
    <row r="95" spans="2:15">
      <c r="B95" s="47" t="s">
        <v>4495</v>
      </c>
      <c r="C95" s="44" t="s">
        <v>2878</v>
      </c>
      <c r="D95" s="56"/>
      <c r="E95" s="66"/>
      <c r="F95" s="66"/>
      <c r="G95" s="66"/>
      <c r="H95" s="66"/>
      <c r="I95" s="57"/>
    </row>
    <row r="96" spans="2:15">
      <c r="B96" s="49" t="s">
        <v>2545</v>
      </c>
      <c r="C96" s="41" t="s">
        <v>3066</v>
      </c>
      <c r="D96" s="60"/>
      <c r="E96" s="60"/>
      <c r="F96" s="60"/>
      <c r="G96" s="60"/>
      <c r="H96" s="60"/>
      <c r="I96" s="60"/>
    </row>
    <row r="97" spans="2:15">
      <c r="B97" s="49" t="s">
        <v>2548</v>
      </c>
      <c r="C97" s="41" t="s">
        <v>3068</v>
      </c>
      <c r="D97" s="60"/>
      <c r="E97" s="60"/>
      <c r="F97" s="60"/>
      <c r="G97" s="60"/>
      <c r="H97" s="60"/>
      <c r="I97" s="60"/>
    </row>
    <row r="98" spans="2:15">
      <c r="B98" s="49" t="s">
        <v>2549</v>
      </c>
      <c r="C98" s="41" t="s">
        <v>3070</v>
      </c>
      <c r="D98" s="60"/>
      <c r="E98" s="60"/>
      <c r="F98" s="60"/>
      <c r="G98" s="60"/>
      <c r="H98" s="60"/>
      <c r="I98" s="60"/>
    </row>
    <row r="99" spans="2:15">
      <c r="B99" s="47" t="s">
        <v>4454</v>
      </c>
      <c r="C99" s="41" t="s">
        <v>3120</v>
      </c>
      <c r="D99" s="60"/>
      <c r="E99" s="60"/>
      <c r="F99" s="60"/>
      <c r="G99" s="60"/>
      <c r="H99" s="60"/>
      <c r="I99" s="60"/>
    </row>
    <row r="101" spans="2:15">
      <c r="N101" s="13" t="str">
        <f>Show!$B$110&amp;Show!$B$110&amp;"S.23.03.04.05 Rows {"&amp;COLUMN($C$1)&amp;"}"</f>
        <v>!!S.23.03.04.05 Rows {3}</v>
      </c>
      <c r="O101" s="13" t="str">
        <f>Show!$B$110&amp;Show!$B$110&amp;"S.23.03.04.05 Columns {"&amp;COLUMN($I$1)&amp;"}"</f>
        <v>!!S.23.03.04.05 Columns {9}</v>
      </c>
    </row>
    <row r="103" spans="2:15" ht="18.75">
      <c r="B103" s="88" t="s">
        <v>4514</v>
      </c>
      <c r="C103" s="87"/>
      <c r="D103" s="87"/>
      <c r="E103" s="87"/>
      <c r="F103" s="87"/>
      <c r="G103" s="87"/>
      <c r="H103" s="87"/>
      <c r="I103" s="87"/>
      <c r="J103" s="87"/>
      <c r="K103" s="87"/>
      <c r="L103" s="87"/>
    </row>
    <row r="107" spans="2:15">
      <c r="D107" s="92" t="s">
        <v>2877</v>
      </c>
      <c r="E107" s="94"/>
    </row>
    <row r="108" spans="2:15">
      <c r="D108" s="95"/>
      <c r="E108" s="97"/>
    </row>
    <row r="109" spans="2:15">
      <c r="D109" s="55" t="s">
        <v>4476</v>
      </c>
      <c r="E109" s="55" t="s">
        <v>4479</v>
      </c>
    </row>
    <row r="110" spans="2:15">
      <c r="D110" s="45" t="s">
        <v>2879</v>
      </c>
      <c r="E110" s="45" t="s">
        <v>3231</v>
      </c>
      <c r="N110" s="13" t="str">
        <f>Show!$B$110&amp;"S.23.03.04.06 Rows {"&amp;COLUMN($C$1)&amp;"}"&amp;"@ForceFilingCode:true"</f>
        <v>!S.23.03.04.06 Rows {3}@ForceFilingCode:true</v>
      </c>
      <c r="O110" s="13" t="str">
        <f>Show!$B$110&amp;"S.23.03.04.06 Columns {"&amp;COLUMN($D$1)&amp;"}"</f>
        <v>!S.23.03.04.06 Columns {4}</v>
      </c>
    </row>
    <row r="111" spans="2:15">
      <c r="B111" s="43" t="s">
        <v>2880</v>
      </c>
      <c r="C111" s="44" t="s">
        <v>2878</v>
      </c>
      <c r="D111" s="56"/>
      <c r="E111" s="57"/>
    </row>
    <row r="112" spans="2:15">
      <c r="B112" s="47" t="s">
        <v>4353</v>
      </c>
      <c r="C112" s="41" t="s">
        <v>3140</v>
      </c>
      <c r="D112" s="60"/>
      <c r="E112" s="60"/>
    </row>
    <row r="114" spans="2:15">
      <c r="N114" s="13" t="str">
        <f>Show!$B$110&amp;Show!$B$110&amp;"S.23.03.04.06 Rows {"&amp;COLUMN($C$1)&amp;"}"</f>
        <v>!!S.23.03.04.06 Rows {3}</v>
      </c>
      <c r="O114" s="13" t="str">
        <f>Show!$B$110&amp;Show!$B$110&amp;"S.23.03.04.06 Columns {"&amp;COLUMN($E$1)&amp;"}"</f>
        <v>!!S.23.03.04.06 Columns {5}</v>
      </c>
    </row>
    <row r="116" spans="2:15" ht="18.75">
      <c r="B116" s="88" t="s">
        <v>4515</v>
      </c>
      <c r="C116" s="87"/>
      <c r="D116" s="87"/>
      <c r="E116" s="87"/>
      <c r="F116" s="87"/>
      <c r="G116" s="87"/>
      <c r="H116" s="87"/>
      <c r="I116" s="87"/>
      <c r="J116" s="87"/>
      <c r="K116" s="87"/>
      <c r="L116" s="87"/>
    </row>
    <row r="120" spans="2:15">
      <c r="D120" s="92" t="s">
        <v>2877</v>
      </c>
      <c r="E120" s="93"/>
      <c r="F120" s="93"/>
      <c r="G120" s="93"/>
      <c r="H120" s="94"/>
    </row>
    <row r="121" spans="2:15">
      <c r="D121" s="95"/>
      <c r="E121" s="96"/>
      <c r="F121" s="96"/>
      <c r="G121" s="96"/>
      <c r="H121" s="97"/>
    </row>
    <row r="122" spans="2:15">
      <c r="D122" s="89" t="s">
        <v>4476</v>
      </c>
      <c r="E122" s="89" t="s">
        <v>4485</v>
      </c>
      <c r="F122" s="89" t="s">
        <v>4486</v>
      </c>
      <c r="G122" s="89" t="s">
        <v>4487</v>
      </c>
      <c r="H122" s="89" t="s">
        <v>4479</v>
      </c>
    </row>
    <row r="123" spans="2:15">
      <c r="D123" s="91"/>
      <c r="E123" s="91"/>
      <c r="F123" s="91"/>
      <c r="G123" s="91"/>
      <c r="H123" s="91"/>
    </row>
    <row r="124" spans="2:15">
      <c r="D124" s="45" t="s">
        <v>2879</v>
      </c>
      <c r="E124" s="45" t="s">
        <v>3233</v>
      </c>
      <c r="F124" s="45" t="s">
        <v>3234</v>
      </c>
      <c r="G124" s="45" t="s">
        <v>3236</v>
      </c>
      <c r="H124" s="45" t="s">
        <v>3231</v>
      </c>
      <c r="N124" s="13" t="str">
        <f>Show!$B$110&amp;"S.23.03.04.07 Rows {"&amp;COLUMN($C$1)&amp;"}"&amp;"@ForceFilingCode:true"</f>
        <v>!S.23.03.04.07 Rows {3}@ForceFilingCode:true</v>
      </c>
      <c r="O124" s="13" t="str">
        <f>Show!$B$110&amp;"S.23.03.04.07 Columns {"&amp;COLUMN($D$1)&amp;"}"</f>
        <v>!S.23.03.04.07 Columns {4}</v>
      </c>
    </row>
    <row r="125" spans="2:15">
      <c r="B125" s="43" t="s">
        <v>2880</v>
      </c>
      <c r="C125" s="44" t="s">
        <v>2878</v>
      </c>
      <c r="D125" s="58"/>
      <c r="E125" s="67"/>
      <c r="F125" s="67"/>
      <c r="G125" s="67"/>
      <c r="H125" s="59"/>
    </row>
    <row r="126" spans="2:15" ht="30">
      <c r="B126" s="47" t="s">
        <v>4498</v>
      </c>
      <c r="C126" s="44" t="s">
        <v>2878</v>
      </c>
      <c r="D126" s="56"/>
      <c r="E126" s="66"/>
      <c r="F126" s="66"/>
      <c r="G126" s="66"/>
      <c r="H126" s="57"/>
    </row>
    <row r="127" spans="2:15">
      <c r="B127" s="49" t="s">
        <v>4499</v>
      </c>
      <c r="C127" s="41" t="s">
        <v>3315</v>
      </c>
      <c r="D127" s="60"/>
      <c r="E127" s="60"/>
      <c r="F127" s="60"/>
      <c r="G127" s="60"/>
      <c r="H127" s="60"/>
    </row>
    <row r="128" spans="2:15">
      <c r="B128" s="49" t="s">
        <v>4500</v>
      </c>
      <c r="C128" s="41" t="s">
        <v>3496</v>
      </c>
      <c r="D128" s="60"/>
      <c r="E128" s="60"/>
      <c r="F128" s="60"/>
      <c r="G128" s="60"/>
      <c r="H128" s="60"/>
    </row>
    <row r="129" spans="2:15">
      <c r="B129" s="49" t="s">
        <v>2548</v>
      </c>
      <c r="C129" s="41" t="s">
        <v>3497</v>
      </c>
      <c r="D129" s="60"/>
      <c r="E129" s="60"/>
      <c r="F129" s="60"/>
      <c r="G129" s="60"/>
      <c r="H129" s="60"/>
    </row>
    <row r="130" spans="2:15">
      <c r="B130" s="49" t="s">
        <v>2549</v>
      </c>
      <c r="C130" s="41" t="s">
        <v>3498</v>
      </c>
      <c r="D130" s="60"/>
      <c r="E130" s="60"/>
      <c r="F130" s="60"/>
      <c r="G130" s="60"/>
      <c r="H130" s="60"/>
    </row>
    <row r="131" spans="2:15" ht="30">
      <c r="B131" s="47" t="s">
        <v>4501</v>
      </c>
      <c r="C131" s="41" t="s">
        <v>3500</v>
      </c>
      <c r="D131" s="60"/>
      <c r="E131" s="60"/>
      <c r="F131" s="60"/>
      <c r="G131" s="60"/>
      <c r="H131" s="60"/>
    </row>
    <row r="133" spans="2:15">
      <c r="N133" s="13" t="str">
        <f>Show!$B$110&amp;Show!$B$110&amp;"S.23.03.04.07 Rows {"&amp;COLUMN($C$1)&amp;"}"</f>
        <v>!!S.23.03.04.07 Rows {3}</v>
      </c>
      <c r="O133" s="13" t="str">
        <f>Show!$B$110&amp;Show!$B$110&amp;"S.23.03.04.07 Columns {"&amp;COLUMN($H$1)&amp;"}"</f>
        <v>!!S.23.03.04.07 Columns {8}</v>
      </c>
    </row>
    <row r="135" spans="2:15" ht="18.75">
      <c r="B135" s="88" t="s">
        <v>4516</v>
      </c>
      <c r="C135" s="87"/>
      <c r="D135" s="87"/>
      <c r="E135" s="87"/>
      <c r="F135" s="87"/>
      <c r="G135" s="87"/>
      <c r="H135" s="87"/>
      <c r="I135" s="87"/>
      <c r="J135" s="87"/>
      <c r="K135" s="87"/>
      <c r="L135" s="87"/>
    </row>
    <row r="139" spans="2:15">
      <c r="D139" s="92" t="s">
        <v>2877</v>
      </c>
      <c r="E139" s="93"/>
      <c r="F139" s="93"/>
      <c r="G139" s="93"/>
      <c r="H139" s="94"/>
    </row>
    <row r="140" spans="2:15">
      <c r="D140" s="95"/>
      <c r="E140" s="96"/>
      <c r="F140" s="96"/>
      <c r="G140" s="96"/>
      <c r="H140" s="97"/>
    </row>
    <row r="141" spans="2:15">
      <c r="D141" s="89" t="s">
        <v>4476</v>
      </c>
      <c r="E141" s="89" t="s">
        <v>4503</v>
      </c>
      <c r="F141" s="89" t="s">
        <v>4504</v>
      </c>
      <c r="G141" s="89" t="s">
        <v>4505</v>
      </c>
      <c r="H141" s="89" t="s">
        <v>4479</v>
      </c>
    </row>
    <row r="142" spans="2:15">
      <c r="D142" s="91"/>
      <c r="E142" s="91"/>
      <c r="F142" s="91"/>
      <c r="G142" s="91"/>
      <c r="H142" s="91"/>
    </row>
    <row r="143" spans="2:15">
      <c r="D143" s="45" t="s">
        <v>2879</v>
      </c>
      <c r="E143" s="45" t="s">
        <v>3241</v>
      </c>
      <c r="F143" s="45" t="s">
        <v>3243</v>
      </c>
      <c r="G143" s="45" t="s">
        <v>3375</v>
      </c>
      <c r="H143" s="45" t="s">
        <v>3231</v>
      </c>
      <c r="N143" s="13" t="str">
        <f>Show!$B$110&amp;"S.23.03.04.08 Rows {"&amp;COLUMN($C$1)&amp;"}"&amp;"@ForceFilingCode:true"</f>
        <v>!S.23.03.04.08 Rows {3}@ForceFilingCode:true</v>
      </c>
      <c r="O143" s="13" t="str">
        <f>Show!$B$110&amp;"S.23.03.04.08 Columns {"&amp;COLUMN($D$1)&amp;"}"</f>
        <v>!S.23.03.04.08 Columns {4}</v>
      </c>
    </row>
    <row r="144" spans="2:15">
      <c r="B144" s="43" t="s">
        <v>2880</v>
      </c>
      <c r="C144" s="44" t="s">
        <v>2878</v>
      </c>
      <c r="D144" s="58"/>
      <c r="E144" s="67"/>
      <c r="F144" s="67"/>
      <c r="G144" s="67"/>
      <c r="H144" s="59"/>
    </row>
    <row r="145" spans="2:15">
      <c r="B145" s="47" t="s">
        <v>4506</v>
      </c>
      <c r="C145" s="44" t="s">
        <v>2878</v>
      </c>
      <c r="D145" s="56"/>
      <c r="E145" s="66"/>
      <c r="F145" s="66"/>
      <c r="G145" s="66"/>
      <c r="H145" s="57"/>
    </row>
    <row r="146" spans="2:15">
      <c r="B146" s="49" t="s">
        <v>2548</v>
      </c>
      <c r="C146" s="41" t="s">
        <v>4507</v>
      </c>
      <c r="D146" s="60"/>
      <c r="E146" s="60"/>
      <c r="F146" s="60"/>
      <c r="G146" s="60"/>
      <c r="H146" s="60"/>
    </row>
    <row r="147" spans="2:15">
      <c r="B147" s="49" t="s">
        <v>2549</v>
      </c>
      <c r="C147" s="41" t="s">
        <v>4508</v>
      </c>
      <c r="D147" s="60"/>
      <c r="E147" s="60"/>
      <c r="F147" s="60"/>
      <c r="G147" s="60"/>
      <c r="H147" s="60"/>
    </row>
    <row r="148" spans="2:15">
      <c r="B148" s="47" t="s">
        <v>4368</v>
      </c>
      <c r="C148" s="41" t="s">
        <v>3502</v>
      </c>
      <c r="D148" s="60"/>
      <c r="E148" s="60"/>
      <c r="F148" s="60"/>
      <c r="G148" s="60"/>
      <c r="H148" s="60"/>
    </row>
    <row r="150" spans="2:15">
      <c r="N150" s="13" t="str">
        <f>Show!$B$110&amp;Show!$B$110&amp;"S.23.03.04.08 Rows {"&amp;COLUMN($C$1)&amp;"}"</f>
        <v>!!S.23.03.04.08 Rows {3}</v>
      </c>
      <c r="O150" s="13" t="str">
        <f>Show!$B$110&amp;Show!$B$110&amp;"S.23.03.04.08 Columns {"&amp;COLUMN($H$1)&amp;"}"</f>
        <v>!!S.23.03.04.08 Columns {8}</v>
      </c>
    </row>
  </sheetData>
  <sheetProtection sheet="1" objects="1" scenarios="1"/>
  <mergeCells count="47">
    <mergeCell ref="B2:O2"/>
    <mergeCell ref="B5:L5"/>
    <mergeCell ref="D9:G10"/>
    <mergeCell ref="D11:D12"/>
    <mergeCell ref="E11:E12"/>
    <mergeCell ref="F11:F12"/>
    <mergeCell ref="G11:G12"/>
    <mergeCell ref="B31:L31"/>
    <mergeCell ref="D35:I36"/>
    <mergeCell ref="D37:D38"/>
    <mergeCell ref="E37:E38"/>
    <mergeCell ref="F37:F38"/>
    <mergeCell ref="G37:G38"/>
    <mergeCell ref="H37:H38"/>
    <mergeCell ref="I37:I38"/>
    <mergeCell ref="B49:L49"/>
    <mergeCell ref="D53:E54"/>
    <mergeCell ref="B62:L62"/>
    <mergeCell ref="D66:G67"/>
    <mergeCell ref="D68:D69"/>
    <mergeCell ref="E68:E69"/>
    <mergeCell ref="F68:F69"/>
    <mergeCell ref="G68:G69"/>
    <mergeCell ref="B85:L85"/>
    <mergeCell ref="D89:I90"/>
    <mergeCell ref="D91:D92"/>
    <mergeCell ref="E91:E92"/>
    <mergeCell ref="F91:F92"/>
    <mergeCell ref="G91:G92"/>
    <mergeCell ref="H91:H92"/>
    <mergeCell ref="I91:I92"/>
    <mergeCell ref="B103:L103"/>
    <mergeCell ref="D107:E108"/>
    <mergeCell ref="B116:L116"/>
    <mergeCell ref="D120:H121"/>
    <mergeCell ref="D122:D123"/>
    <mergeCell ref="E122:E123"/>
    <mergeCell ref="F122:F123"/>
    <mergeCell ref="G122:G123"/>
    <mergeCell ref="H122:H123"/>
    <mergeCell ref="B135:L135"/>
    <mergeCell ref="D139:H140"/>
    <mergeCell ref="D141:D142"/>
    <mergeCell ref="E141:E142"/>
    <mergeCell ref="F141:F142"/>
    <mergeCell ref="G141:G142"/>
    <mergeCell ref="H141:H142"/>
  </mergeCells>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64508-61D7-42E2-9F7B-B32BF57B38AF}">
  <sheetPr codeName="Blad115"/>
  <dimension ref="B2:O33"/>
  <sheetViews>
    <sheetView showGridLines="0" workbookViewId="0"/>
  </sheetViews>
  <sheetFormatPr defaultRowHeight="15"/>
  <cols>
    <col min="2" max="2" width="55.28515625" bestFit="1" customWidth="1"/>
    <col min="4" max="8" width="15.7109375" customWidth="1"/>
  </cols>
  <sheetData>
    <row r="2" spans="2:15" ht="23.25">
      <c r="B2" s="86" t="s">
        <v>680</v>
      </c>
      <c r="C2" s="87"/>
      <c r="D2" s="87"/>
      <c r="E2" s="87"/>
      <c r="F2" s="87"/>
      <c r="G2" s="87"/>
      <c r="H2" s="87"/>
      <c r="I2" s="87"/>
      <c r="J2" s="87"/>
      <c r="K2" s="87"/>
      <c r="L2" s="87"/>
      <c r="M2" s="87"/>
      <c r="N2" s="87"/>
      <c r="O2" s="87"/>
    </row>
    <row r="5" spans="2:15" ht="18.75">
      <c r="B5" s="88" t="s">
        <v>4517</v>
      </c>
      <c r="C5" s="87"/>
      <c r="D5" s="87"/>
      <c r="E5" s="87"/>
      <c r="F5" s="87"/>
      <c r="G5" s="87"/>
      <c r="H5" s="87"/>
      <c r="I5" s="87"/>
      <c r="J5" s="87"/>
      <c r="K5" s="87"/>
      <c r="L5" s="87"/>
    </row>
    <row r="9" spans="2:15">
      <c r="D9" s="92" t="s">
        <v>2877</v>
      </c>
      <c r="E9" s="94"/>
    </row>
    <row r="10" spans="2:15">
      <c r="D10" s="95"/>
      <c r="E10" s="97"/>
    </row>
    <row r="11" spans="2:15">
      <c r="D11" s="55" t="s">
        <v>4476</v>
      </c>
      <c r="E11" s="55" t="s">
        <v>4479</v>
      </c>
    </row>
    <row r="12" spans="2:15">
      <c r="D12" s="45" t="s">
        <v>2879</v>
      </c>
      <c r="E12" s="45" t="s">
        <v>3231</v>
      </c>
      <c r="M12" s="13" t="str">
        <f>Show!$B$111&amp;"S.23.03.07.01 Rows {"&amp;COLUMN($C$1)&amp;"}"&amp;"@ForceFilingCode:true"</f>
        <v>!S.23.03.07.01 Rows {3}@ForceFilingCode:true</v>
      </c>
      <c r="N12" s="13" t="str">
        <f>Show!$B$111&amp;"S.23.03.07.01 Columns {"&amp;COLUMN($D$1)&amp;"}"</f>
        <v>!S.23.03.07.01 Columns {4}</v>
      </c>
    </row>
    <row r="13" spans="2:15">
      <c r="B13" s="43" t="s">
        <v>2880</v>
      </c>
      <c r="C13" s="44" t="s">
        <v>2878</v>
      </c>
      <c r="D13" s="56"/>
      <c r="E13" s="57"/>
    </row>
    <row r="14" spans="2:15">
      <c r="B14" s="47" t="s">
        <v>4353</v>
      </c>
      <c r="C14" s="41" t="s">
        <v>3140</v>
      </c>
      <c r="D14" s="60"/>
      <c r="E14" s="60"/>
    </row>
    <row r="16" spans="2:15">
      <c r="M16" s="13" t="str">
        <f>Show!$B$111&amp;Show!$B$111&amp;"S.23.03.07.01 Rows {"&amp;COLUMN($C$1)&amp;"}"</f>
        <v>!!S.23.03.07.01 Rows {3}</v>
      </c>
      <c r="N16" s="13" t="str">
        <f>Show!$B$111&amp;Show!$B$111&amp;"S.23.03.07.01 Columns {"&amp;COLUMN($E$1)&amp;"}"</f>
        <v>!!S.23.03.07.01 Columns {5}</v>
      </c>
    </row>
    <row r="18" spans="2:14" ht="18.75">
      <c r="B18" s="88" t="s">
        <v>4518</v>
      </c>
      <c r="C18" s="87"/>
      <c r="D18" s="87"/>
      <c r="E18" s="87"/>
      <c r="F18" s="87"/>
      <c r="G18" s="87"/>
      <c r="H18" s="87"/>
      <c r="I18" s="87"/>
      <c r="J18" s="87"/>
      <c r="K18" s="87"/>
      <c r="L18" s="87"/>
    </row>
    <row r="22" spans="2:14">
      <c r="D22" s="92" t="s">
        <v>2877</v>
      </c>
      <c r="E22" s="93"/>
      <c r="F22" s="93"/>
      <c r="G22" s="93"/>
      <c r="H22" s="94"/>
    </row>
    <row r="23" spans="2:14">
      <c r="D23" s="95"/>
      <c r="E23" s="96"/>
      <c r="F23" s="96"/>
      <c r="G23" s="96"/>
      <c r="H23" s="97"/>
    </row>
    <row r="24" spans="2:14">
      <c r="D24" s="89" t="s">
        <v>4476</v>
      </c>
      <c r="E24" s="89" t="s">
        <v>4503</v>
      </c>
      <c r="F24" s="89" t="s">
        <v>4504</v>
      </c>
      <c r="G24" s="89" t="s">
        <v>4505</v>
      </c>
      <c r="H24" s="89" t="s">
        <v>4479</v>
      </c>
    </row>
    <row r="25" spans="2:14">
      <c r="D25" s="91"/>
      <c r="E25" s="91"/>
      <c r="F25" s="91"/>
      <c r="G25" s="91"/>
      <c r="H25" s="91"/>
    </row>
    <row r="26" spans="2:14">
      <c r="D26" s="45" t="s">
        <v>2879</v>
      </c>
      <c r="E26" s="45" t="s">
        <v>3241</v>
      </c>
      <c r="F26" s="45" t="s">
        <v>3243</v>
      </c>
      <c r="G26" s="45" t="s">
        <v>3375</v>
      </c>
      <c r="H26" s="45" t="s">
        <v>3231</v>
      </c>
      <c r="M26" s="13" t="str">
        <f>Show!$B$111&amp;"S.23.03.07.02 Rows {"&amp;COLUMN($C$1)&amp;"}"&amp;"@ForceFilingCode:true"</f>
        <v>!S.23.03.07.02 Rows {3}@ForceFilingCode:true</v>
      </c>
      <c r="N26" s="13" t="str">
        <f>Show!$B$111&amp;"S.23.03.07.02 Columns {"&amp;COLUMN($D$1)&amp;"}"</f>
        <v>!S.23.03.07.02 Columns {4}</v>
      </c>
    </row>
    <row r="27" spans="2:14">
      <c r="B27" s="43" t="s">
        <v>2880</v>
      </c>
      <c r="C27" s="44" t="s">
        <v>2878</v>
      </c>
      <c r="D27" s="58"/>
      <c r="E27" s="67"/>
      <c r="F27" s="67"/>
      <c r="G27" s="67"/>
      <c r="H27" s="59"/>
    </row>
    <row r="28" spans="2:14">
      <c r="B28" s="47" t="s">
        <v>4506</v>
      </c>
      <c r="C28" s="44" t="s">
        <v>2878</v>
      </c>
      <c r="D28" s="56"/>
      <c r="E28" s="66"/>
      <c r="F28" s="66"/>
      <c r="G28" s="66"/>
      <c r="H28" s="57"/>
    </row>
    <row r="29" spans="2:14">
      <c r="B29" s="49" t="s">
        <v>2548</v>
      </c>
      <c r="C29" s="41" t="s">
        <v>4507</v>
      </c>
      <c r="D29" s="60"/>
      <c r="E29" s="60"/>
      <c r="F29" s="60"/>
      <c r="G29" s="60"/>
      <c r="H29" s="60"/>
    </row>
    <row r="30" spans="2:14">
      <c r="B30" s="49" t="s">
        <v>2549</v>
      </c>
      <c r="C30" s="41" t="s">
        <v>4508</v>
      </c>
      <c r="D30" s="60"/>
      <c r="E30" s="60"/>
      <c r="F30" s="60"/>
      <c r="G30" s="60"/>
      <c r="H30" s="60"/>
    </row>
    <row r="31" spans="2:14">
      <c r="B31" s="47" t="s">
        <v>4368</v>
      </c>
      <c r="C31" s="41" t="s">
        <v>3502</v>
      </c>
      <c r="D31" s="60"/>
      <c r="E31" s="60"/>
      <c r="F31" s="60"/>
      <c r="G31" s="60"/>
      <c r="H31" s="60"/>
    </row>
    <row r="33" spans="13:14">
      <c r="M33" s="13" t="str">
        <f>Show!$B$111&amp;Show!$B$111&amp;"S.23.03.07.02 Rows {"&amp;COLUMN($C$1)&amp;"}"</f>
        <v>!!S.23.03.07.02 Rows {3}</v>
      </c>
      <c r="N33" s="13" t="str">
        <f>Show!$B$111&amp;Show!$B$111&amp;"S.23.03.07.02 Columns {"&amp;COLUMN($H$1)&amp;"}"</f>
        <v>!!S.23.03.07.02 Columns {8}</v>
      </c>
    </row>
  </sheetData>
  <sheetProtection sheet="1" objects="1" scenarios="1"/>
  <mergeCells count="10">
    <mergeCell ref="D24:D25"/>
    <mergeCell ref="E24:E25"/>
    <mergeCell ref="F24:F25"/>
    <mergeCell ref="G24:G25"/>
    <mergeCell ref="H24:H25"/>
    <mergeCell ref="B2:O2"/>
    <mergeCell ref="B5:L5"/>
    <mergeCell ref="D9:E10"/>
    <mergeCell ref="B18:L18"/>
    <mergeCell ref="D22:H23"/>
  </mergeCells>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1AE18-BA92-4D01-BDF6-5FE89BC46350}">
  <sheetPr codeName="Blad116"/>
  <dimension ref="B2:X100"/>
  <sheetViews>
    <sheetView showGridLines="0" workbookViewId="0"/>
  </sheetViews>
  <sheetFormatPr defaultRowHeight="15"/>
  <cols>
    <col min="2" max="2" width="56.140625" bestFit="1" customWidth="1"/>
    <col min="3" max="11" width="15.7109375" customWidth="1"/>
    <col min="12" max="13" width="40.7109375" customWidth="1"/>
    <col min="14" max="14" width="15.7109375" customWidth="1"/>
    <col min="15" max="15" width="40.7109375" customWidth="1"/>
  </cols>
  <sheetData>
    <row r="2" spans="2:24" ht="23.25">
      <c r="B2" s="86" t="s">
        <v>682</v>
      </c>
      <c r="C2" s="87"/>
      <c r="D2" s="87"/>
      <c r="E2" s="87"/>
      <c r="F2" s="87"/>
      <c r="G2" s="87"/>
      <c r="H2" s="87"/>
      <c r="I2" s="87"/>
      <c r="J2" s="87"/>
      <c r="K2" s="87"/>
      <c r="L2" s="87"/>
      <c r="M2" s="87"/>
      <c r="N2" s="87"/>
      <c r="O2" s="87"/>
    </row>
    <row r="5" spans="2:24" ht="18.75">
      <c r="B5" s="88" t="s">
        <v>4519</v>
      </c>
      <c r="C5" s="87"/>
      <c r="D5" s="87"/>
      <c r="E5" s="87"/>
      <c r="F5" s="87"/>
      <c r="G5" s="87"/>
      <c r="H5" s="87"/>
      <c r="I5" s="87"/>
      <c r="J5" s="87"/>
      <c r="K5" s="87"/>
      <c r="L5" s="87"/>
    </row>
    <row r="9" spans="2:24">
      <c r="B9" s="89" t="s">
        <v>3374</v>
      </c>
      <c r="C9" s="92" t="s">
        <v>2877</v>
      </c>
      <c r="D9" s="93"/>
      <c r="E9" s="93"/>
      <c r="F9" s="93"/>
      <c r="G9" s="93"/>
      <c r="H9" s="93"/>
      <c r="I9" s="93"/>
      <c r="J9" s="93"/>
      <c r="K9" s="93"/>
      <c r="L9" s="93"/>
      <c r="M9" s="93"/>
      <c r="N9" s="93"/>
      <c r="O9" s="94"/>
    </row>
    <row r="10" spans="2:24">
      <c r="B10" s="90"/>
      <c r="C10" s="95"/>
      <c r="D10" s="96"/>
      <c r="E10" s="96"/>
      <c r="F10" s="96"/>
      <c r="G10" s="96"/>
      <c r="H10" s="96"/>
      <c r="I10" s="96"/>
      <c r="J10" s="96"/>
      <c r="K10" s="96"/>
      <c r="L10" s="96"/>
      <c r="M10" s="96"/>
      <c r="N10" s="96"/>
      <c r="O10" s="97"/>
    </row>
    <row r="11" spans="2:24" ht="75">
      <c r="B11" s="91"/>
      <c r="C11" s="55" t="s">
        <v>4521</v>
      </c>
      <c r="D11" s="55" t="s">
        <v>4522</v>
      </c>
      <c r="E11" s="55" t="s">
        <v>4523</v>
      </c>
      <c r="F11" s="55" t="s">
        <v>4524</v>
      </c>
      <c r="G11" s="55" t="s">
        <v>4525</v>
      </c>
      <c r="H11" s="55" t="s">
        <v>4526</v>
      </c>
      <c r="I11" s="55" t="s">
        <v>3648</v>
      </c>
      <c r="J11" s="55" t="s">
        <v>3627</v>
      </c>
      <c r="K11" s="55" t="s">
        <v>4527</v>
      </c>
      <c r="L11" s="55" t="s">
        <v>4528</v>
      </c>
      <c r="M11" s="55" t="s">
        <v>4529</v>
      </c>
      <c r="N11" s="55" t="s">
        <v>4530</v>
      </c>
      <c r="O11" s="55" t="s">
        <v>4531</v>
      </c>
    </row>
    <row r="12" spans="2:24">
      <c r="B12" s="42" t="s">
        <v>4520</v>
      </c>
      <c r="C12" s="42" t="s">
        <v>2879</v>
      </c>
      <c r="D12" s="42" t="s">
        <v>3219</v>
      </c>
      <c r="E12" s="42" t="s">
        <v>3225</v>
      </c>
      <c r="F12" s="42" t="s">
        <v>3223</v>
      </c>
      <c r="G12" s="42" t="s">
        <v>3233</v>
      </c>
      <c r="H12" s="42" t="s">
        <v>3234</v>
      </c>
      <c r="I12" s="42" t="s">
        <v>3236</v>
      </c>
      <c r="J12" s="42" t="s">
        <v>3239</v>
      </c>
      <c r="K12" s="42" t="s">
        <v>3241</v>
      </c>
      <c r="L12" s="42" t="s">
        <v>3243</v>
      </c>
      <c r="M12" s="42" t="s">
        <v>3375</v>
      </c>
      <c r="N12" s="42" t="s">
        <v>3475</v>
      </c>
      <c r="O12" s="42" t="s">
        <v>3479</v>
      </c>
      <c r="W12" s="13" t="str">
        <f>Show!$B$112&amp;"S.23.04.01.01 Rows {"&amp;COLUMN($B$1)&amp;"}"&amp;"@ForceFilingCode:true"</f>
        <v>!S.23.04.01.01 Rows {2}@ForceFilingCode:true</v>
      </c>
      <c r="X12" s="13" t="str">
        <f>Show!$B$112&amp;"S.23.04.01.01 Columns {"&amp;COLUMN($B$1)&amp;"}"</f>
        <v>!S.23.04.01.01 Columns {2}</v>
      </c>
    </row>
    <row r="13" spans="2:24">
      <c r="B13" s="50"/>
      <c r="C13" s="51"/>
      <c r="D13" s="60"/>
      <c r="E13" s="51"/>
      <c r="F13" s="51"/>
      <c r="G13" s="51"/>
      <c r="H13" s="51"/>
      <c r="I13" s="54"/>
      <c r="J13" s="54"/>
      <c r="K13" s="54"/>
      <c r="L13" s="51"/>
      <c r="M13" s="51"/>
      <c r="N13" s="54"/>
      <c r="O13" s="51"/>
    </row>
    <row r="15" spans="2:24">
      <c r="W15" s="13" t="str">
        <f>Show!$B$112&amp;Show!$B$112&amp;"S.23.04.01.01 Rows {"&amp;COLUMN($B$1)&amp;"}"</f>
        <v>!!S.23.04.01.01 Rows {2}</v>
      </c>
      <c r="X15" s="13" t="str">
        <f>Show!$B$112&amp;Show!$B$112&amp;"S.23.04.01.01 Columns {"&amp;COLUMN($O$1)&amp;"}"</f>
        <v>!!S.23.04.01.01 Columns {15}</v>
      </c>
    </row>
    <row r="17" spans="2:24" ht="18.75">
      <c r="B17" s="88" t="s">
        <v>4532</v>
      </c>
      <c r="C17" s="87"/>
      <c r="D17" s="87"/>
      <c r="E17" s="87"/>
      <c r="F17" s="87"/>
      <c r="G17" s="87"/>
      <c r="H17" s="87"/>
      <c r="I17" s="87"/>
      <c r="J17" s="87"/>
      <c r="K17" s="87"/>
      <c r="L17" s="87"/>
    </row>
    <row r="21" spans="2:24">
      <c r="B21" s="89" t="s">
        <v>3374</v>
      </c>
      <c r="C21" s="92" t="s">
        <v>2877</v>
      </c>
      <c r="D21" s="93"/>
      <c r="E21" s="93"/>
      <c r="F21" s="93"/>
      <c r="G21" s="93"/>
      <c r="H21" s="93"/>
      <c r="I21" s="93"/>
      <c r="J21" s="94"/>
    </row>
    <row r="22" spans="2:24">
      <c r="B22" s="90"/>
      <c r="C22" s="95"/>
      <c r="D22" s="96"/>
      <c r="E22" s="96"/>
      <c r="F22" s="96"/>
      <c r="G22" s="96"/>
      <c r="H22" s="96"/>
      <c r="I22" s="96"/>
      <c r="J22" s="97"/>
    </row>
    <row r="23" spans="2:24" ht="45">
      <c r="B23" s="91"/>
      <c r="C23" s="55" t="s">
        <v>4534</v>
      </c>
      <c r="D23" s="55" t="s">
        <v>4522</v>
      </c>
      <c r="E23" s="55" t="s">
        <v>4525</v>
      </c>
      <c r="F23" s="55" t="s">
        <v>4526</v>
      </c>
      <c r="G23" s="55" t="s">
        <v>3648</v>
      </c>
      <c r="H23" s="55" t="s">
        <v>4527</v>
      </c>
      <c r="I23" s="55" t="s">
        <v>4528</v>
      </c>
      <c r="J23" s="55" t="s">
        <v>4529</v>
      </c>
    </row>
    <row r="24" spans="2:24">
      <c r="B24" s="42" t="s">
        <v>4533</v>
      </c>
      <c r="C24" s="42" t="s">
        <v>3599</v>
      </c>
      <c r="D24" s="42" t="s">
        <v>3481</v>
      </c>
      <c r="E24" s="42" t="s">
        <v>3508</v>
      </c>
      <c r="F24" s="42" t="s">
        <v>3509</v>
      </c>
      <c r="G24" s="42" t="s">
        <v>3511</v>
      </c>
      <c r="H24" s="42" t="s">
        <v>3513</v>
      </c>
      <c r="I24" s="42" t="s">
        <v>3514</v>
      </c>
      <c r="J24" s="42" t="s">
        <v>3515</v>
      </c>
      <c r="W24" s="13" t="str">
        <f>Show!$B$112&amp;"S.23.04.01.02 Rows {"&amp;COLUMN($B$1)&amp;"}"&amp;"@ForceFilingCode:true"</f>
        <v>!S.23.04.01.02 Rows {2}@ForceFilingCode:true</v>
      </c>
      <c r="X24" s="13" t="str">
        <f>Show!$B$112&amp;"S.23.04.01.02 Columns {"&amp;COLUMN($B$1)&amp;"}"</f>
        <v>!S.23.04.01.02 Columns {2}</v>
      </c>
    </row>
    <row r="25" spans="2:24">
      <c r="B25" s="50"/>
      <c r="C25" s="51"/>
      <c r="D25" s="60"/>
      <c r="E25" s="51"/>
      <c r="F25" s="51"/>
      <c r="G25" s="54"/>
      <c r="H25" s="54"/>
      <c r="I25" s="51"/>
      <c r="J25" s="51"/>
    </row>
    <row r="27" spans="2:24">
      <c r="W27" s="13" t="str">
        <f>Show!$B$112&amp;Show!$B$112&amp;"S.23.04.01.02 Rows {"&amp;COLUMN($B$1)&amp;"}"</f>
        <v>!!S.23.04.01.02 Rows {2}</v>
      </c>
      <c r="X27" s="13" t="str">
        <f>Show!$B$112&amp;Show!$B$112&amp;"S.23.04.01.02 Columns {"&amp;COLUMN($J$1)&amp;"}"</f>
        <v>!!S.23.04.01.02 Columns {10}</v>
      </c>
    </row>
    <row r="29" spans="2:24" ht="18.75">
      <c r="B29" s="88" t="s">
        <v>4535</v>
      </c>
      <c r="C29" s="87"/>
      <c r="D29" s="87"/>
      <c r="E29" s="87"/>
      <c r="F29" s="87"/>
      <c r="G29" s="87"/>
      <c r="H29" s="87"/>
      <c r="I29" s="87"/>
      <c r="J29" s="87"/>
      <c r="K29" s="87"/>
      <c r="L29" s="87"/>
    </row>
    <row r="33" spans="2:24">
      <c r="B33" s="89" t="s">
        <v>3374</v>
      </c>
      <c r="C33" s="92" t="s">
        <v>2877</v>
      </c>
      <c r="D33" s="93"/>
      <c r="E33" s="93"/>
      <c r="F33" s="93"/>
      <c r="G33" s="93"/>
      <c r="H33" s="93"/>
      <c r="I33" s="93"/>
      <c r="J33" s="93"/>
      <c r="K33" s="93"/>
      <c r="L33" s="93"/>
      <c r="M33" s="93"/>
      <c r="N33" s="94"/>
    </row>
    <row r="34" spans="2:24">
      <c r="B34" s="90"/>
      <c r="C34" s="95"/>
      <c r="D34" s="96"/>
      <c r="E34" s="96"/>
      <c r="F34" s="96"/>
      <c r="G34" s="96"/>
      <c r="H34" s="96"/>
      <c r="I34" s="96"/>
      <c r="J34" s="96"/>
      <c r="K34" s="96"/>
      <c r="L34" s="96"/>
      <c r="M34" s="96"/>
      <c r="N34" s="97"/>
    </row>
    <row r="35" spans="2:24" ht="45">
      <c r="B35" s="91"/>
      <c r="C35" s="55" t="s">
        <v>4537</v>
      </c>
      <c r="D35" s="55" t="s">
        <v>4522</v>
      </c>
      <c r="E35" s="55" t="s">
        <v>4523</v>
      </c>
      <c r="F35" s="55" t="s">
        <v>4524</v>
      </c>
      <c r="G35" s="55" t="s">
        <v>4538</v>
      </c>
      <c r="H35" s="55" t="s">
        <v>4525</v>
      </c>
      <c r="I35" s="55" t="s">
        <v>3648</v>
      </c>
      <c r="J35" s="55" t="s">
        <v>3627</v>
      </c>
      <c r="K35" s="55" t="s">
        <v>4527</v>
      </c>
      <c r="L35" s="55" t="s">
        <v>4539</v>
      </c>
      <c r="M35" s="55" t="s">
        <v>4529</v>
      </c>
      <c r="N35" s="55" t="s">
        <v>4530</v>
      </c>
    </row>
    <row r="36" spans="2:24">
      <c r="B36" s="42" t="s">
        <v>4536</v>
      </c>
      <c r="C36" s="42" t="s">
        <v>3517</v>
      </c>
      <c r="D36" s="42" t="s">
        <v>3518</v>
      </c>
      <c r="E36" s="42" t="s">
        <v>3608</v>
      </c>
      <c r="F36" s="42" t="s">
        <v>3519</v>
      </c>
      <c r="G36" s="42" t="s">
        <v>3614</v>
      </c>
      <c r="H36" s="42" t="s">
        <v>3616</v>
      </c>
      <c r="I36" s="42" t="s">
        <v>3620</v>
      </c>
      <c r="J36" s="42" t="s">
        <v>3622</v>
      </c>
      <c r="K36" s="42" t="s">
        <v>3624</v>
      </c>
      <c r="L36" s="42" t="s">
        <v>3626</v>
      </c>
      <c r="M36" s="42" t="s">
        <v>3628</v>
      </c>
      <c r="N36" s="42" t="s">
        <v>3634</v>
      </c>
      <c r="W36" s="13" t="str">
        <f>Show!$B$112&amp;"S.23.04.01.03 Rows {"&amp;COLUMN($B$1)&amp;"}"&amp;"@ForceFilingCode:true"</f>
        <v>!S.23.04.01.03 Rows {2}@ForceFilingCode:true</v>
      </c>
      <c r="X36" s="13" t="str">
        <f>Show!$B$112&amp;"S.23.04.01.03 Columns {"&amp;COLUMN($B$1)&amp;"}"</f>
        <v>!S.23.04.01.03 Columns {2}</v>
      </c>
    </row>
    <row r="37" spans="2:24">
      <c r="B37" s="50"/>
      <c r="C37" s="51"/>
      <c r="D37" s="60"/>
      <c r="E37" s="51"/>
      <c r="F37" s="51"/>
      <c r="G37" s="51"/>
      <c r="H37" s="51"/>
      <c r="I37" s="54"/>
      <c r="J37" s="54"/>
      <c r="K37" s="54"/>
      <c r="L37" s="51"/>
      <c r="M37" s="51"/>
      <c r="N37" s="54"/>
    </row>
    <row r="39" spans="2:24">
      <c r="W39" s="13" t="str">
        <f>Show!$B$112&amp;Show!$B$112&amp;"S.23.04.01.03 Rows {"&amp;COLUMN($B$1)&amp;"}"</f>
        <v>!!S.23.04.01.03 Rows {2}</v>
      </c>
      <c r="X39" s="13" t="str">
        <f>Show!$B$112&amp;Show!$B$112&amp;"S.23.04.01.03 Columns {"&amp;COLUMN($N$1)&amp;"}"</f>
        <v>!!S.23.04.01.03 Columns {14}</v>
      </c>
    </row>
    <row r="41" spans="2:24" ht="18.75">
      <c r="B41" s="88" t="s">
        <v>4540</v>
      </c>
      <c r="C41" s="87"/>
      <c r="D41" s="87"/>
      <c r="E41" s="87"/>
      <c r="F41" s="87"/>
      <c r="G41" s="87"/>
      <c r="H41" s="87"/>
      <c r="I41" s="87"/>
      <c r="J41" s="87"/>
      <c r="K41" s="87"/>
      <c r="L41" s="87"/>
    </row>
    <row r="45" spans="2:24">
      <c r="B45" s="89" t="s">
        <v>3374</v>
      </c>
      <c r="C45" s="92" t="s">
        <v>2877</v>
      </c>
      <c r="D45" s="93"/>
      <c r="E45" s="93"/>
      <c r="F45" s="93"/>
      <c r="G45" s="93"/>
      <c r="H45" s="93"/>
      <c r="I45" s="94"/>
    </row>
    <row r="46" spans="2:24">
      <c r="B46" s="90"/>
      <c r="C46" s="95"/>
      <c r="D46" s="96"/>
      <c r="E46" s="96"/>
      <c r="F46" s="96"/>
      <c r="G46" s="96"/>
      <c r="H46" s="96"/>
      <c r="I46" s="97"/>
    </row>
    <row r="47" spans="2:24" ht="105">
      <c r="B47" s="91"/>
      <c r="C47" s="55" t="s">
        <v>4395</v>
      </c>
      <c r="D47" s="55" t="s">
        <v>4522</v>
      </c>
      <c r="E47" s="55" t="s">
        <v>4524</v>
      </c>
      <c r="F47" s="55" t="s">
        <v>2545</v>
      </c>
      <c r="G47" s="55" t="s">
        <v>2548</v>
      </c>
      <c r="H47" s="55" t="s">
        <v>2549</v>
      </c>
      <c r="I47" s="55" t="s">
        <v>4542</v>
      </c>
    </row>
    <row r="48" spans="2:24">
      <c r="B48" s="42" t="s">
        <v>4541</v>
      </c>
      <c r="C48" s="42" t="s">
        <v>3955</v>
      </c>
      <c r="D48" s="42" t="s">
        <v>3956</v>
      </c>
      <c r="E48" s="42" t="s">
        <v>3957</v>
      </c>
      <c r="F48" s="42" t="s">
        <v>3958</v>
      </c>
      <c r="G48" s="42" t="s">
        <v>3959</v>
      </c>
      <c r="H48" s="42" t="s">
        <v>3960</v>
      </c>
      <c r="I48" s="42" t="s">
        <v>3961</v>
      </c>
      <c r="W48" s="13" t="str">
        <f>Show!$B$112&amp;"S.23.04.01.04 Rows {"&amp;COLUMN($B$1)&amp;"}"&amp;"@ForceFilingCode:true"</f>
        <v>!S.23.04.01.04 Rows {2}@ForceFilingCode:true</v>
      </c>
      <c r="X48" s="13" t="str">
        <f>Show!$B$112&amp;"S.23.04.01.04 Columns {"&amp;COLUMN($B$1)&amp;"}"</f>
        <v>!S.23.04.01.04 Columns {2}</v>
      </c>
    </row>
    <row r="49" spans="2:24">
      <c r="B49" s="50"/>
      <c r="C49" s="51"/>
      <c r="D49" s="60"/>
      <c r="E49" s="51"/>
      <c r="F49" s="60"/>
      <c r="G49" s="60"/>
      <c r="H49" s="60"/>
      <c r="I49" s="54"/>
    </row>
    <row r="51" spans="2:24">
      <c r="W51" s="13" t="str">
        <f>Show!$B$112&amp;Show!$B$112&amp;"S.23.04.01.04 Rows {"&amp;COLUMN($B$1)&amp;"}"</f>
        <v>!!S.23.04.01.04 Rows {2}</v>
      </c>
      <c r="X51" s="13" t="str">
        <f>Show!$B$112&amp;Show!$B$112&amp;"S.23.04.01.04 Columns {"&amp;COLUMN($I$1)&amp;"}"</f>
        <v>!!S.23.04.01.04 Columns {9}</v>
      </c>
    </row>
    <row r="53" spans="2:24" ht="18.75">
      <c r="B53" s="88" t="s">
        <v>4543</v>
      </c>
      <c r="C53" s="87"/>
      <c r="D53" s="87"/>
      <c r="E53" s="87"/>
      <c r="F53" s="87"/>
      <c r="G53" s="87"/>
      <c r="H53" s="87"/>
      <c r="I53" s="87"/>
      <c r="J53" s="87"/>
      <c r="K53" s="87"/>
      <c r="L53" s="87"/>
    </row>
    <row r="57" spans="2:24">
      <c r="B57" s="89" t="s">
        <v>3374</v>
      </c>
      <c r="C57" s="92" t="s">
        <v>2877</v>
      </c>
      <c r="D57" s="94"/>
    </row>
    <row r="58" spans="2:24">
      <c r="B58" s="90"/>
      <c r="C58" s="95"/>
      <c r="D58" s="97"/>
    </row>
    <row r="59" spans="2:24" ht="30">
      <c r="B59" s="91"/>
      <c r="C59" s="55" t="s">
        <v>4545</v>
      </c>
      <c r="D59" s="55" t="s">
        <v>3480</v>
      </c>
    </row>
    <row r="60" spans="2:24">
      <c r="B60" s="42" t="s">
        <v>4544</v>
      </c>
      <c r="C60" s="42" t="s">
        <v>4546</v>
      </c>
      <c r="D60" s="42" t="s">
        <v>4547</v>
      </c>
      <c r="W60" s="13" t="str">
        <f>Show!$B$112&amp;"S.23.04.01.05 Rows {"&amp;COLUMN($B$1)&amp;"}"&amp;"@ForceFilingCode:true"</f>
        <v>!S.23.04.01.05 Rows {2}@ForceFilingCode:true</v>
      </c>
      <c r="X60" s="13" t="str">
        <f>Show!$B$112&amp;"S.23.04.01.05 Columns {"&amp;COLUMN($B$1)&amp;"}"</f>
        <v>!S.23.04.01.05 Columns {2}</v>
      </c>
    </row>
    <row r="61" spans="2:24">
      <c r="B61" s="50"/>
      <c r="C61" s="51"/>
      <c r="D61" s="60"/>
    </row>
    <row r="63" spans="2:24">
      <c r="W63" s="13" t="str">
        <f>Show!$B$112&amp;Show!$B$112&amp;"S.23.04.01.05 Rows {"&amp;COLUMN($B$1)&amp;"}"</f>
        <v>!!S.23.04.01.05 Rows {2}</v>
      </c>
      <c r="X63" s="13" t="str">
        <f>Show!$B$112&amp;Show!$B$112&amp;"S.23.04.01.05 Columns {"&amp;COLUMN($D$1)&amp;"}"</f>
        <v>!!S.23.04.01.05 Columns {4}</v>
      </c>
    </row>
    <row r="65" spans="2:24" ht="18.75">
      <c r="B65" s="88" t="s">
        <v>4548</v>
      </c>
      <c r="C65" s="87"/>
      <c r="D65" s="87"/>
      <c r="E65" s="87"/>
      <c r="F65" s="87"/>
      <c r="G65" s="87"/>
      <c r="H65" s="87"/>
      <c r="I65" s="87"/>
      <c r="J65" s="87"/>
      <c r="K65" s="87"/>
      <c r="L65" s="87"/>
    </row>
    <row r="69" spans="2:24">
      <c r="B69" s="89" t="s">
        <v>3374</v>
      </c>
      <c r="C69" s="92" t="s">
        <v>2877</v>
      </c>
      <c r="D69" s="93"/>
      <c r="E69" s="93"/>
      <c r="F69" s="93"/>
      <c r="G69" s="94"/>
    </row>
    <row r="70" spans="2:24">
      <c r="B70" s="90"/>
      <c r="C70" s="95"/>
      <c r="D70" s="96"/>
      <c r="E70" s="96"/>
      <c r="F70" s="96"/>
      <c r="G70" s="97"/>
    </row>
    <row r="71" spans="2:24" ht="45">
      <c r="B71" s="91"/>
      <c r="C71" s="55" t="s">
        <v>4550</v>
      </c>
      <c r="D71" s="55" t="s">
        <v>4522</v>
      </c>
      <c r="E71" s="55" t="s">
        <v>4552</v>
      </c>
      <c r="F71" s="55" t="s">
        <v>3648</v>
      </c>
      <c r="G71" s="55" t="s">
        <v>4542</v>
      </c>
    </row>
    <row r="72" spans="2:24">
      <c r="B72" s="42" t="s">
        <v>4549</v>
      </c>
      <c r="C72" s="42" t="s">
        <v>4551</v>
      </c>
      <c r="D72" s="42" t="s">
        <v>3969</v>
      </c>
      <c r="E72" s="42" t="s">
        <v>3970</v>
      </c>
      <c r="F72" s="42" t="s">
        <v>3971</v>
      </c>
      <c r="G72" s="42" t="s">
        <v>3972</v>
      </c>
      <c r="W72" s="13" t="str">
        <f>Show!$B$112&amp;"S.23.04.01.06 Rows {"&amp;COLUMN($B$1)&amp;"}"&amp;"@ForceFilingCode:true"</f>
        <v>!S.23.04.01.06 Rows {2}@ForceFilingCode:true</v>
      </c>
      <c r="X72" s="13" t="str">
        <f>Show!$B$112&amp;"S.23.04.01.06 Columns {"&amp;COLUMN($B$1)&amp;"}"</f>
        <v>!S.23.04.01.06 Columns {2}</v>
      </c>
    </row>
    <row r="73" spans="2:24">
      <c r="B73" s="50"/>
      <c r="C73" s="51"/>
      <c r="D73" s="60"/>
      <c r="E73" s="51"/>
      <c r="F73" s="54"/>
      <c r="G73" s="54"/>
    </row>
    <row r="75" spans="2:24">
      <c r="W75" s="13" t="str">
        <f>Show!$B$112&amp;Show!$B$112&amp;"S.23.04.01.06 Rows {"&amp;COLUMN($B$1)&amp;"}"</f>
        <v>!!S.23.04.01.06 Rows {2}</v>
      </c>
      <c r="X75" s="13" t="str">
        <f>Show!$B$112&amp;Show!$B$112&amp;"S.23.04.01.06 Columns {"&amp;COLUMN($G$1)&amp;"}"</f>
        <v>!!S.23.04.01.06 Columns {7}</v>
      </c>
    </row>
    <row r="77" spans="2:24" ht="18.75">
      <c r="B77" s="88" t="s">
        <v>4553</v>
      </c>
      <c r="C77" s="87"/>
      <c r="D77" s="87"/>
      <c r="E77" s="87"/>
      <c r="F77" s="87"/>
      <c r="G77" s="87"/>
      <c r="H77" s="87"/>
      <c r="I77" s="87"/>
      <c r="J77" s="87"/>
      <c r="K77" s="87"/>
      <c r="L77" s="87"/>
    </row>
    <row r="81" spans="2:24">
      <c r="B81" s="89" t="s">
        <v>4554</v>
      </c>
      <c r="C81" s="92" t="s">
        <v>2877</v>
      </c>
      <c r="D81" s="93"/>
      <c r="E81" s="93"/>
      <c r="F81" s="93"/>
      <c r="G81" s="94"/>
    </row>
    <row r="82" spans="2:24">
      <c r="B82" s="90"/>
      <c r="C82" s="95"/>
      <c r="D82" s="96"/>
      <c r="E82" s="96"/>
      <c r="F82" s="96"/>
      <c r="G82" s="97"/>
    </row>
    <row r="83" spans="2:24" ht="135">
      <c r="B83" s="91"/>
      <c r="C83" s="55" t="s">
        <v>4555</v>
      </c>
      <c r="D83" s="55" t="s">
        <v>4556</v>
      </c>
      <c r="E83" s="55" t="s">
        <v>4557</v>
      </c>
      <c r="F83" s="55" t="s">
        <v>4558</v>
      </c>
      <c r="G83" s="55" t="s">
        <v>4381</v>
      </c>
    </row>
    <row r="84" spans="2:24">
      <c r="B84" s="42" t="s">
        <v>3975</v>
      </c>
      <c r="C84" s="42" t="s">
        <v>3976</v>
      </c>
      <c r="D84" s="42" t="s">
        <v>3977</v>
      </c>
      <c r="E84" s="42" t="s">
        <v>3978</v>
      </c>
      <c r="F84" s="42" t="s">
        <v>3979</v>
      </c>
      <c r="G84" s="42" t="s">
        <v>3980</v>
      </c>
      <c r="W84" s="13" t="str">
        <f>Show!$B$112&amp;"S.23.04.01.07 Rows {"&amp;COLUMN($B$1)&amp;"}"&amp;"@ForceFilingCode:true"</f>
        <v>!S.23.04.01.07 Rows {2}@ForceFilingCode:true</v>
      </c>
      <c r="X84" s="13" t="str">
        <f>Show!$B$112&amp;"S.23.04.01.07 Columns {"&amp;COLUMN($B$1)&amp;"}"</f>
        <v>!S.23.04.01.07 Columns {2}</v>
      </c>
    </row>
    <row r="85" spans="2:24">
      <c r="B85" s="50"/>
      <c r="C85" s="60"/>
      <c r="D85" s="60"/>
      <c r="E85" s="60"/>
      <c r="F85" s="60"/>
      <c r="G85" s="60"/>
    </row>
    <row r="87" spans="2:24">
      <c r="W87" s="13" t="str">
        <f>Show!$B$112&amp;Show!$B$112&amp;"S.23.04.01.07 Rows {"&amp;COLUMN($B$1)&amp;"}"</f>
        <v>!!S.23.04.01.07 Rows {2}</v>
      </c>
      <c r="X87" s="13" t="str">
        <f>Show!$B$112&amp;Show!$B$112&amp;"S.23.04.01.07 Columns {"&amp;COLUMN($G$1)&amp;"}"</f>
        <v>!!S.23.04.01.07 Columns {7}</v>
      </c>
    </row>
    <row r="89" spans="2:24" ht="18.75">
      <c r="B89" s="88" t="s">
        <v>4559</v>
      </c>
      <c r="C89" s="87"/>
      <c r="D89" s="87"/>
      <c r="E89" s="87"/>
      <c r="F89" s="87"/>
      <c r="G89" s="87"/>
      <c r="H89" s="87"/>
      <c r="I89" s="87"/>
      <c r="J89" s="87"/>
      <c r="K89" s="87"/>
      <c r="L89" s="87"/>
    </row>
    <row r="93" spans="2:24">
      <c r="D93" s="89" t="s">
        <v>2877</v>
      </c>
    </row>
    <row r="94" spans="2:24">
      <c r="D94" s="91"/>
    </row>
    <row r="95" spans="2:24" ht="135">
      <c r="D95" s="55" t="s">
        <v>4381</v>
      </c>
    </row>
    <row r="96" spans="2:24">
      <c r="D96" s="45" t="s">
        <v>4560</v>
      </c>
      <c r="W96" s="13" t="str">
        <f>Show!$B$112&amp;"S.23.04.01.09 Rows {"&amp;COLUMN($C$1)&amp;"}"&amp;"@ForceFilingCode:true"</f>
        <v>!S.23.04.01.09 Rows {3}@ForceFilingCode:true</v>
      </c>
      <c r="X96" s="13" t="str">
        <f>Show!$B$112&amp;"S.23.04.01.09 Columns {"&amp;COLUMN($D$1)&amp;"}"</f>
        <v>!S.23.04.01.09 Columns {4}</v>
      </c>
    </row>
    <row r="97" spans="2:24">
      <c r="B97" s="43" t="s">
        <v>2880</v>
      </c>
      <c r="C97" s="44" t="s">
        <v>2878</v>
      </c>
      <c r="D97" s="46"/>
    </row>
    <row r="98" spans="2:24" ht="30">
      <c r="B98" s="47" t="s">
        <v>4381</v>
      </c>
      <c r="C98" s="41" t="s">
        <v>2883</v>
      </c>
      <c r="D98" s="60"/>
    </row>
    <row r="100" spans="2:24">
      <c r="W100" s="13" t="str">
        <f>Show!$B$112&amp;Show!$B$112&amp;"S.23.04.01.09 Rows {"&amp;COLUMN($C$1)&amp;"}"</f>
        <v>!!S.23.04.01.09 Rows {3}</v>
      </c>
      <c r="X100" s="13" t="str">
        <f>Show!$B$112&amp;Show!$B$112&amp;"S.23.04.01.09 Columns {"&amp;COLUMN($D$1)&amp;"}"</f>
        <v>!!S.23.04.01.09 Columns {4}</v>
      </c>
    </row>
  </sheetData>
  <sheetProtection sheet="1" objects="1" scenarios="1"/>
  <mergeCells count="24">
    <mergeCell ref="B21:B23"/>
    <mergeCell ref="C21:J22"/>
    <mergeCell ref="B2:O2"/>
    <mergeCell ref="B5:L5"/>
    <mergeCell ref="B9:B11"/>
    <mergeCell ref="C9:O10"/>
    <mergeCell ref="B17:L17"/>
    <mergeCell ref="B29:L29"/>
    <mergeCell ref="B33:B35"/>
    <mergeCell ref="C33:N34"/>
    <mergeCell ref="B41:L41"/>
    <mergeCell ref="B45:B47"/>
    <mergeCell ref="C45:I46"/>
    <mergeCell ref="B53:L53"/>
    <mergeCell ref="B57:B59"/>
    <mergeCell ref="C57:D58"/>
    <mergeCell ref="B65:L65"/>
    <mergeCell ref="B69:B71"/>
    <mergeCell ref="C69:G70"/>
    <mergeCell ref="B77:L77"/>
    <mergeCell ref="B81:B83"/>
    <mergeCell ref="C81:G82"/>
    <mergeCell ref="B89:L89"/>
    <mergeCell ref="D93:D94"/>
  </mergeCells>
  <dataValidations count="4">
    <dataValidation type="list" errorStyle="warning" allowBlank="1" showInputMessage="1" showErrorMessage="1" sqref="E13 E37" xr:uid="{215D6FEE-9942-4C18-8202-DE78EB053FA7}">
      <formula1>hier_EL_13</formula1>
    </dataValidation>
    <dataValidation type="list" errorStyle="warning" allowBlank="1" showInputMessage="1" showErrorMessage="1" sqref="F13 F37 E49" xr:uid="{6606311E-4AF0-4695-9054-FB890FBF7E1F}">
      <formula1>hier_CU_1</formula1>
    </dataValidation>
    <dataValidation type="list" errorStyle="warning" allowBlank="1" showInputMessage="1" showErrorMessage="1" sqref="G13 E25 H37" xr:uid="{4E5D9DCE-02AA-4E93-A6C2-B01C52F98CA5}">
      <formula1>hier_EL_14</formula1>
    </dataValidation>
    <dataValidation type="date" operator="greaterThan" allowBlank="1" showInputMessage="1" showErrorMessage="1" errorTitle="Date value" error="This cell can only contain dates" sqref="F73:G73 I49 N37 I37:K37 G25:H25 N13 I13:K13" xr:uid="{2BA6A4AF-8F03-4628-A529-953B514FFCED}">
      <formula1>1</formula1>
    </dataValidation>
  </dataValidations>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74D0E-6DA0-4D83-8712-8E36DA565ED3}">
  <sheetPr codeName="Blad117"/>
  <dimension ref="B2:AC126"/>
  <sheetViews>
    <sheetView showGridLines="0" workbookViewId="0"/>
  </sheetViews>
  <sheetFormatPr defaultRowHeight="15"/>
  <cols>
    <col min="2" max="2" width="56.140625" bestFit="1" customWidth="1"/>
    <col min="3" max="3" width="40.7109375" customWidth="1"/>
    <col min="4" max="16" width="15.7109375" customWidth="1"/>
    <col min="17" max="18" width="40.7109375" customWidth="1"/>
    <col min="19" max="20" width="15.7109375" customWidth="1"/>
  </cols>
  <sheetData>
    <row r="2" spans="2:29" ht="23.25">
      <c r="B2" s="86" t="s">
        <v>682</v>
      </c>
      <c r="C2" s="87"/>
      <c r="D2" s="87"/>
      <c r="E2" s="87"/>
      <c r="F2" s="87"/>
      <c r="G2" s="87"/>
      <c r="H2" s="87"/>
      <c r="I2" s="87"/>
      <c r="J2" s="87"/>
      <c r="K2" s="87"/>
      <c r="L2" s="87"/>
      <c r="M2" s="87"/>
      <c r="N2" s="87"/>
      <c r="O2" s="87"/>
    </row>
    <row r="5" spans="2:29" ht="18.75">
      <c r="B5" s="88" t="s">
        <v>4561</v>
      </c>
      <c r="C5" s="87"/>
      <c r="D5" s="87"/>
      <c r="E5" s="87"/>
      <c r="F5" s="87"/>
      <c r="G5" s="87"/>
      <c r="H5" s="87"/>
      <c r="I5" s="87"/>
      <c r="J5" s="87"/>
      <c r="K5" s="87"/>
      <c r="L5" s="87"/>
    </row>
    <row r="9" spans="2:29">
      <c r="B9" s="89" t="s">
        <v>3374</v>
      </c>
      <c r="C9" s="92" t="s">
        <v>2877</v>
      </c>
      <c r="D9" s="93"/>
      <c r="E9" s="93"/>
      <c r="F9" s="93"/>
      <c r="G9" s="93"/>
      <c r="H9" s="93"/>
      <c r="I9" s="93"/>
      <c r="J9" s="93"/>
      <c r="K9" s="93"/>
      <c r="L9" s="93"/>
      <c r="M9" s="93"/>
      <c r="N9" s="93"/>
      <c r="O9" s="93"/>
      <c r="P9" s="93"/>
      <c r="Q9" s="93"/>
      <c r="R9" s="93"/>
      <c r="S9" s="93"/>
      <c r="T9" s="94"/>
    </row>
    <row r="10" spans="2:29">
      <c r="B10" s="90"/>
      <c r="C10" s="95"/>
      <c r="D10" s="96"/>
      <c r="E10" s="96"/>
      <c r="F10" s="96"/>
      <c r="G10" s="96"/>
      <c r="H10" s="96"/>
      <c r="I10" s="96"/>
      <c r="J10" s="96"/>
      <c r="K10" s="96"/>
      <c r="L10" s="96"/>
      <c r="M10" s="96"/>
      <c r="N10" s="96"/>
      <c r="O10" s="96"/>
      <c r="P10" s="96"/>
      <c r="Q10" s="96"/>
      <c r="R10" s="96"/>
      <c r="S10" s="96"/>
      <c r="T10" s="97"/>
    </row>
    <row r="11" spans="2:29" ht="60">
      <c r="B11" s="91"/>
      <c r="C11" s="55" t="s">
        <v>4521</v>
      </c>
      <c r="D11" s="55" t="s">
        <v>4522</v>
      </c>
      <c r="E11" s="55" t="s">
        <v>4523</v>
      </c>
      <c r="F11" s="55" t="s">
        <v>4524</v>
      </c>
      <c r="G11" s="55" t="s">
        <v>4562</v>
      </c>
      <c r="H11" s="55" t="s">
        <v>4538</v>
      </c>
      <c r="I11" s="55" t="s">
        <v>4525</v>
      </c>
      <c r="J11" s="55" t="s">
        <v>4526</v>
      </c>
      <c r="K11" s="55" t="s">
        <v>3648</v>
      </c>
      <c r="L11" s="55" t="s">
        <v>3627</v>
      </c>
      <c r="M11" s="55" t="s">
        <v>4527</v>
      </c>
      <c r="N11" s="55" t="s">
        <v>4528</v>
      </c>
      <c r="O11" s="55" t="s">
        <v>4529</v>
      </c>
      <c r="P11" s="55" t="s">
        <v>4530</v>
      </c>
      <c r="Q11" s="55" t="s">
        <v>4563</v>
      </c>
      <c r="R11" s="55" t="s">
        <v>4531</v>
      </c>
      <c r="S11" s="55" t="s">
        <v>4564</v>
      </c>
      <c r="T11" s="55" t="s">
        <v>4565</v>
      </c>
    </row>
    <row r="12" spans="2:29">
      <c r="B12" s="42" t="s">
        <v>4520</v>
      </c>
      <c r="C12" s="42" t="s">
        <v>2879</v>
      </c>
      <c r="D12" s="42" t="s">
        <v>3219</v>
      </c>
      <c r="E12" s="42" t="s">
        <v>3225</v>
      </c>
      <c r="F12" s="42" t="s">
        <v>3223</v>
      </c>
      <c r="G12" s="42" t="s">
        <v>3229</v>
      </c>
      <c r="H12" s="42" t="s">
        <v>3231</v>
      </c>
      <c r="I12" s="42" t="s">
        <v>3233</v>
      </c>
      <c r="J12" s="42" t="s">
        <v>3234</v>
      </c>
      <c r="K12" s="42" t="s">
        <v>3236</v>
      </c>
      <c r="L12" s="42" t="s">
        <v>3239</v>
      </c>
      <c r="M12" s="42" t="s">
        <v>3241</v>
      </c>
      <c r="N12" s="42" t="s">
        <v>3243</v>
      </c>
      <c r="O12" s="42" t="s">
        <v>3375</v>
      </c>
      <c r="P12" s="42" t="s">
        <v>3475</v>
      </c>
      <c r="Q12" s="42" t="s">
        <v>3477</v>
      </c>
      <c r="R12" s="42" t="s">
        <v>3479</v>
      </c>
      <c r="S12" s="42" t="s">
        <v>3594</v>
      </c>
      <c r="T12" s="42" t="s">
        <v>3596</v>
      </c>
      <c r="AB12" s="13" t="str">
        <f>Show!$B$113&amp;"S.23.04.04.01 Rows {"&amp;COLUMN($B$1)&amp;"}"&amp;"@ForceFilingCode:true"</f>
        <v>!S.23.04.04.01 Rows {2}@ForceFilingCode:true</v>
      </c>
      <c r="AC12" s="13" t="str">
        <f>Show!$B$113&amp;"S.23.04.04.01 Columns {"&amp;COLUMN($B$1)&amp;"}"</f>
        <v>!S.23.04.04.01 Columns {2}</v>
      </c>
    </row>
    <row r="13" spans="2:29">
      <c r="B13" s="50"/>
      <c r="C13" s="51"/>
      <c r="D13" s="60"/>
      <c r="E13" s="51"/>
      <c r="F13" s="51"/>
      <c r="G13" s="51"/>
      <c r="H13" s="51"/>
      <c r="I13" s="51"/>
      <c r="J13" s="51"/>
      <c r="K13" s="54"/>
      <c r="L13" s="54"/>
      <c r="M13" s="54"/>
      <c r="N13" s="51"/>
      <c r="O13" s="51"/>
      <c r="P13" s="54"/>
      <c r="Q13" s="51"/>
      <c r="R13" s="51"/>
      <c r="S13" s="70"/>
      <c r="T13" s="60"/>
    </row>
    <row r="15" spans="2:29">
      <c r="AB15" s="13" t="str">
        <f>Show!$B$113&amp;Show!$B$113&amp;"S.23.04.04.01 Rows {"&amp;COLUMN($B$1)&amp;"}"</f>
        <v>!!S.23.04.04.01 Rows {2}</v>
      </c>
      <c r="AC15" s="13" t="str">
        <f>Show!$B$113&amp;Show!$B$113&amp;"S.23.04.04.01 Columns {"&amp;COLUMN($T$1)&amp;"}"</f>
        <v>!!S.23.04.04.01 Columns {20}</v>
      </c>
    </row>
    <row r="17" spans="2:29" ht="18.75">
      <c r="B17" s="88" t="s">
        <v>4566</v>
      </c>
      <c r="C17" s="87"/>
      <c r="D17" s="87"/>
      <c r="E17" s="87"/>
      <c r="F17" s="87"/>
      <c r="G17" s="87"/>
      <c r="H17" s="87"/>
      <c r="I17" s="87"/>
      <c r="J17" s="87"/>
      <c r="K17" s="87"/>
      <c r="L17" s="87"/>
    </row>
    <row r="21" spans="2:29">
      <c r="B21" s="89" t="s">
        <v>3374</v>
      </c>
      <c r="C21" s="92" t="s">
        <v>2877</v>
      </c>
      <c r="D21" s="93"/>
      <c r="E21" s="93"/>
      <c r="F21" s="93"/>
      <c r="G21" s="93"/>
      <c r="H21" s="93"/>
      <c r="I21" s="93"/>
      <c r="J21" s="94"/>
    </row>
    <row r="22" spans="2:29">
      <c r="B22" s="90"/>
      <c r="C22" s="95"/>
      <c r="D22" s="96"/>
      <c r="E22" s="96"/>
      <c r="F22" s="96"/>
      <c r="G22" s="96"/>
      <c r="H22" s="96"/>
      <c r="I22" s="96"/>
      <c r="J22" s="97"/>
    </row>
    <row r="23" spans="2:29" ht="45">
      <c r="B23" s="91"/>
      <c r="C23" s="55" t="s">
        <v>4534</v>
      </c>
      <c r="D23" s="55" t="s">
        <v>4522</v>
      </c>
      <c r="E23" s="55" t="s">
        <v>4525</v>
      </c>
      <c r="F23" s="55" t="s">
        <v>4526</v>
      </c>
      <c r="G23" s="55" t="s">
        <v>3648</v>
      </c>
      <c r="H23" s="55" t="s">
        <v>4527</v>
      </c>
      <c r="I23" s="55" t="s">
        <v>4528</v>
      </c>
      <c r="J23" s="55" t="s">
        <v>4529</v>
      </c>
    </row>
    <row r="24" spans="2:29">
      <c r="B24" s="42" t="s">
        <v>4533</v>
      </c>
      <c r="C24" s="42" t="s">
        <v>3599</v>
      </c>
      <c r="D24" s="42" t="s">
        <v>3481</v>
      </c>
      <c r="E24" s="42" t="s">
        <v>3508</v>
      </c>
      <c r="F24" s="42" t="s">
        <v>3509</v>
      </c>
      <c r="G24" s="42" t="s">
        <v>3511</v>
      </c>
      <c r="H24" s="42" t="s">
        <v>3513</v>
      </c>
      <c r="I24" s="42" t="s">
        <v>3514</v>
      </c>
      <c r="J24" s="42" t="s">
        <v>3515</v>
      </c>
      <c r="AB24" s="13" t="str">
        <f>Show!$B$113&amp;"S.23.04.04.02 Rows {"&amp;COLUMN($B$1)&amp;"}"&amp;"@ForceFilingCode:true"</f>
        <v>!S.23.04.04.02 Rows {2}@ForceFilingCode:true</v>
      </c>
      <c r="AC24" s="13" t="str">
        <f>Show!$B$113&amp;"S.23.04.04.02 Columns {"&amp;COLUMN($B$1)&amp;"}"</f>
        <v>!S.23.04.04.02 Columns {2}</v>
      </c>
    </row>
    <row r="25" spans="2:29">
      <c r="B25" s="50"/>
      <c r="C25" s="51"/>
      <c r="D25" s="60"/>
      <c r="E25" s="51"/>
      <c r="F25" s="51"/>
      <c r="G25" s="54"/>
      <c r="H25" s="54"/>
      <c r="I25" s="51"/>
      <c r="J25" s="51"/>
    </row>
    <row r="27" spans="2:29">
      <c r="AB27" s="13" t="str">
        <f>Show!$B$113&amp;Show!$B$113&amp;"S.23.04.04.02 Rows {"&amp;COLUMN($B$1)&amp;"}"</f>
        <v>!!S.23.04.04.02 Rows {2}</v>
      </c>
      <c r="AC27" s="13" t="str">
        <f>Show!$B$113&amp;Show!$B$113&amp;"S.23.04.04.02 Columns {"&amp;COLUMN($J$1)&amp;"}"</f>
        <v>!!S.23.04.04.02 Columns {10}</v>
      </c>
    </row>
    <row r="29" spans="2:29" ht="18.75">
      <c r="B29" s="88" t="s">
        <v>4567</v>
      </c>
      <c r="C29" s="87"/>
      <c r="D29" s="87"/>
      <c r="E29" s="87"/>
      <c r="F29" s="87"/>
      <c r="G29" s="87"/>
      <c r="H29" s="87"/>
      <c r="I29" s="87"/>
      <c r="J29" s="87"/>
      <c r="K29" s="87"/>
      <c r="L29" s="87"/>
    </row>
    <row r="33" spans="2:29">
      <c r="B33" s="89" t="s">
        <v>3374</v>
      </c>
      <c r="C33" s="92" t="s">
        <v>2877</v>
      </c>
      <c r="D33" s="93"/>
      <c r="E33" s="93"/>
      <c r="F33" s="93"/>
      <c r="G33" s="93"/>
      <c r="H33" s="93"/>
      <c r="I33" s="93"/>
      <c r="J33" s="93"/>
      <c r="K33" s="93"/>
      <c r="L33" s="93"/>
      <c r="M33" s="93"/>
      <c r="N33" s="93"/>
      <c r="O33" s="93"/>
      <c r="P33" s="93"/>
      <c r="Q33" s="93"/>
      <c r="R33" s="93"/>
      <c r="S33" s="93"/>
      <c r="T33" s="94"/>
    </row>
    <row r="34" spans="2:29">
      <c r="B34" s="90"/>
      <c r="C34" s="95"/>
      <c r="D34" s="96"/>
      <c r="E34" s="96"/>
      <c r="F34" s="96"/>
      <c r="G34" s="96"/>
      <c r="H34" s="96"/>
      <c r="I34" s="96"/>
      <c r="J34" s="96"/>
      <c r="K34" s="96"/>
      <c r="L34" s="96"/>
      <c r="M34" s="96"/>
      <c r="N34" s="96"/>
      <c r="O34" s="96"/>
      <c r="P34" s="96"/>
      <c r="Q34" s="96"/>
      <c r="R34" s="96"/>
      <c r="S34" s="96"/>
      <c r="T34" s="97"/>
    </row>
    <row r="35" spans="2:29" ht="60">
      <c r="B35" s="91"/>
      <c r="C35" s="55" t="s">
        <v>4537</v>
      </c>
      <c r="D35" s="55" t="s">
        <v>4522</v>
      </c>
      <c r="E35" s="55" t="s">
        <v>4523</v>
      </c>
      <c r="F35" s="55" t="s">
        <v>4524</v>
      </c>
      <c r="G35" s="55" t="s">
        <v>4562</v>
      </c>
      <c r="H35" s="55" t="s">
        <v>4538</v>
      </c>
      <c r="I35" s="55" t="s">
        <v>4525</v>
      </c>
      <c r="J35" s="55" t="s">
        <v>4526</v>
      </c>
      <c r="K35" s="55" t="s">
        <v>3648</v>
      </c>
      <c r="L35" s="55" t="s">
        <v>3627</v>
      </c>
      <c r="M35" s="55" t="s">
        <v>4527</v>
      </c>
      <c r="N35" s="55" t="s">
        <v>4539</v>
      </c>
      <c r="O35" s="55" t="s">
        <v>4529</v>
      </c>
      <c r="P35" s="55" t="s">
        <v>4530</v>
      </c>
      <c r="Q35" s="55" t="s">
        <v>4563</v>
      </c>
      <c r="R35" s="55" t="s">
        <v>4531</v>
      </c>
      <c r="S35" s="55" t="s">
        <v>4564</v>
      </c>
      <c r="T35" s="55" t="s">
        <v>4568</v>
      </c>
    </row>
    <row r="36" spans="2:29">
      <c r="B36" s="42" t="s">
        <v>4536</v>
      </c>
      <c r="C36" s="42" t="s">
        <v>3517</v>
      </c>
      <c r="D36" s="42" t="s">
        <v>3518</v>
      </c>
      <c r="E36" s="42" t="s">
        <v>3608</v>
      </c>
      <c r="F36" s="42" t="s">
        <v>3519</v>
      </c>
      <c r="G36" s="42" t="s">
        <v>3612</v>
      </c>
      <c r="H36" s="42" t="s">
        <v>3614</v>
      </c>
      <c r="I36" s="42" t="s">
        <v>3616</v>
      </c>
      <c r="J36" s="42" t="s">
        <v>3618</v>
      </c>
      <c r="K36" s="42" t="s">
        <v>3620</v>
      </c>
      <c r="L36" s="42" t="s">
        <v>3622</v>
      </c>
      <c r="M36" s="42" t="s">
        <v>3624</v>
      </c>
      <c r="N36" s="42" t="s">
        <v>3626</v>
      </c>
      <c r="O36" s="42" t="s">
        <v>3628</v>
      </c>
      <c r="P36" s="42" t="s">
        <v>3634</v>
      </c>
      <c r="Q36" s="42" t="s">
        <v>3636</v>
      </c>
      <c r="R36" s="42" t="s">
        <v>3701</v>
      </c>
      <c r="S36" s="42" t="s">
        <v>3702</v>
      </c>
      <c r="T36" s="42" t="s">
        <v>3675</v>
      </c>
      <c r="AB36" s="13" t="str">
        <f>Show!$B$113&amp;"S.23.04.04.03 Rows {"&amp;COLUMN($B$1)&amp;"}"&amp;"@ForceFilingCode:true"</f>
        <v>!S.23.04.04.03 Rows {2}@ForceFilingCode:true</v>
      </c>
      <c r="AC36" s="13" t="str">
        <f>Show!$B$113&amp;"S.23.04.04.03 Columns {"&amp;COLUMN($B$1)&amp;"}"</f>
        <v>!S.23.04.04.03 Columns {2}</v>
      </c>
    </row>
    <row r="37" spans="2:29">
      <c r="B37" s="50"/>
      <c r="C37" s="51"/>
      <c r="D37" s="60"/>
      <c r="E37" s="51"/>
      <c r="F37" s="51"/>
      <c r="G37" s="51"/>
      <c r="H37" s="51"/>
      <c r="I37" s="51"/>
      <c r="J37" s="51"/>
      <c r="K37" s="54"/>
      <c r="L37" s="54"/>
      <c r="M37" s="54"/>
      <c r="N37" s="51"/>
      <c r="O37" s="51"/>
      <c r="P37" s="54"/>
      <c r="Q37" s="51"/>
      <c r="R37" s="51"/>
      <c r="S37" s="70"/>
      <c r="T37" s="60"/>
    </row>
    <row r="39" spans="2:29">
      <c r="AB39" s="13" t="str">
        <f>Show!$B$113&amp;Show!$B$113&amp;"S.23.04.04.03 Rows {"&amp;COLUMN($B$1)&amp;"}"</f>
        <v>!!S.23.04.04.03 Rows {2}</v>
      </c>
      <c r="AC39" s="13" t="str">
        <f>Show!$B$113&amp;Show!$B$113&amp;"S.23.04.04.03 Columns {"&amp;COLUMN($T$1)&amp;"}"</f>
        <v>!!S.23.04.04.03 Columns {20}</v>
      </c>
    </row>
    <row r="41" spans="2:29" ht="18.75">
      <c r="B41" s="88" t="s">
        <v>4569</v>
      </c>
      <c r="C41" s="87"/>
      <c r="D41" s="87"/>
      <c r="E41" s="87"/>
      <c r="F41" s="87"/>
      <c r="G41" s="87"/>
      <c r="H41" s="87"/>
      <c r="I41" s="87"/>
      <c r="J41" s="87"/>
      <c r="K41" s="87"/>
      <c r="L41" s="87"/>
    </row>
    <row r="45" spans="2:29">
      <c r="B45" s="89" t="s">
        <v>3374</v>
      </c>
      <c r="C45" s="92" t="s">
        <v>2877</v>
      </c>
      <c r="D45" s="93"/>
      <c r="E45" s="93"/>
      <c r="F45" s="93"/>
      <c r="G45" s="93"/>
      <c r="H45" s="93"/>
      <c r="I45" s="93"/>
      <c r="J45" s="93"/>
      <c r="K45" s="93"/>
      <c r="L45" s="93"/>
      <c r="M45" s="93"/>
      <c r="N45" s="94"/>
    </row>
    <row r="46" spans="2:29">
      <c r="B46" s="90"/>
      <c r="C46" s="95"/>
      <c r="D46" s="96"/>
      <c r="E46" s="96"/>
      <c r="F46" s="96"/>
      <c r="G46" s="96"/>
      <c r="H46" s="96"/>
      <c r="I46" s="96"/>
      <c r="J46" s="96"/>
      <c r="K46" s="96"/>
      <c r="L46" s="96"/>
      <c r="M46" s="96"/>
      <c r="N46" s="97"/>
    </row>
    <row r="47" spans="2:29" ht="75">
      <c r="B47" s="91"/>
      <c r="C47" s="55" t="s">
        <v>4395</v>
      </c>
      <c r="D47" s="55" t="s">
        <v>4522</v>
      </c>
      <c r="E47" s="55" t="s">
        <v>4524</v>
      </c>
      <c r="F47" s="55" t="s">
        <v>2545</v>
      </c>
      <c r="G47" s="55" t="s">
        <v>2548</v>
      </c>
      <c r="H47" s="55" t="s">
        <v>2549</v>
      </c>
      <c r="I47" s="55" t="s">
        <v>4542</v>
      </c>
      <c r="J47" s="55" t="s">
        <v>4563</v>
      </c>
      <c r="K47" s="55" t="s">
        <v>4570</v>
      </c>
      <c r="L47" s="55" t="s">
        <v>4531</v>
      </c>
      <c r="M47" s="55" t="s">
        <v>4564</v>
      </c>
      <c r="N47" s="55" t="s">
        <v>4571</v>
      </c>
    </row>
    <row r="48" spans="2:29">
      <c r="B48" s="42" t="s">
        <v>4541</v>
      </c>
      <c r="C48" s="42" t="s">
        <v>3955</v>
      </c>
      <c r="D48" s="42" t="s">
        <v>3956</v>
      </c>
      <c r="E48" s="42" t="s">
        <v>3957</v>
      </c>
      <c r="F48" s="42" t="s">
        <v>3958</v>
      </c>
      <c r="G48" s="42" t="s">
        <v>3959</v>
      </c>
      <c r="H48" s="42" t="s">
        <v>3960</v>
      </c>
      <c r="I48" s="42" t="s">
        <v>3961</v>
      </c>
      <c r="J48" s="42" t="s">
        <v>3962</v>
      </c>
      <c r="K48" s="42" t="s">
        <v>3963</v>
      </c>
      <c r="L48" s="42" t="s">
        <v>3964</v>
      </c>
      <c r="M48" s="42" t="s">
        <v>3965</v>
      </c>
      <c r="N48" s="42" t="s">
        <v>3967</v>
      </c>
      <c r="AB48" s="13" t="str">
        <f>Show!$B$113&amp;"S.23.04.04.04 Rows {"&amp;COLUMN($B$1)&amp;"}"&amp;"@ForceFilingCode:true"</f>
        <v>!S.23.04.04.04 Rows {2}@ForceFilingCode:true</v>
      </c>
      <c r="AC48" s="13" t="str">
        <f>Show!$B$113&amp;"S.23.04.04.04 Columns {"&amp;COLUMN($B$1)&amp;"}"</f>
        <v>!S.23.04.04.04 Columns {2}</v>
      </c>
    </row>
    <row r="49" spans="2:29">
      <c r="B49" s="50"/>
      <c r="C49" s="51"/>
      <c r="D49" s="60"/>
      <c r="E49" s="51"/>
      <c r="F49" s="60"/>
      <c r="G49" s="60"/>
      <c r="H49" s="60"/>
      <c r="I49" s="54"/>
      <c r="J49" s="51"/>
      <c r="K49" s="51"/>
      <c r="L49" s="51"/>
      <c r="M49" s="70"/>
      <c r="N49" s="60"/>
    </row>
    <row r="51" spans="2:29">
      <c r="AB51" s="13" t="str">
        <f>Show!$B$113&amp;Show!$B$113&amp;"S.23.04.04.04 Rows {"&amp;COLUMN($B$1)&amp;"}"</f>
        <v>!!S.23.04.04.04 Rows {2}</v>
      </c>
      <c r="AC51" s="13" t="str">
        <f>Show!$B$113&amp;Show!$B$113&amp;"S.23.04.04.04 Columns {"&amp;COLUMN($N$1)&amp;"}"</f>
        <v>!!S.23.04.04.04 Columns {14}</v>
      </c>
    </row>
    <row r="53" spans="2:29" ht="18.75">
      <c r="B53" s="88" t="s">
        <v>4572</v>
      </c>
      <c r="C53" s="87"/>
      <c r="D53" s="87"/>
      <c r="E53" s="87"/>
      <c r="F53" s="87"/>
      <c r="G53" s="87"/>
      <c r="H53" s="87"/>
      <c r="I53" s="87"/>
      <c r="J53" s="87"/>
      <c r="K53" s="87"/>
      <c r="L53" s="87"/>
    </row>
    <row r="57" spans="2:29">
      <c r="B57" s="89" t="s">
        <v>3374</v>
      </c>
      <c r="C57" s="92" t="s">
        <v>2877</v>
      </c>
      <c r="D57" s="94"/>
    </row>
    <row r="58" spans="2:29">
      <c r="B58" s="90"/>
      <c r="C58" s="95"/>
      <c r="D58" s="97"/>
    </row>
    <row r="59" spans="2:29">
      <c r="B59" s="91"/>
      <c r="C59" s="55" t="s">
        <v>4545</v>
      </c>
      <c r="D59" s="55" t="s">
        <v>3480</v>
      </c>
    </row>
    <row r="60" spans="2:29">
      <c r="B60" s="42" t="s">
        <v>4544</v>
      </c>
      <c r="C60" s="42" t="s">
        <v>4546</v>
      </c>
      <c r="D60" s="42" t="s">
        <v>4547</v>
      </c>
      <c r="AB60" s="13" t="str">
        <f>Show!$B$113&amp;"S.23.04.04.05 Rows {"&amp;COLUMN($B$1)&amp;"}"&amp;"@ForceFilingCode:true"</f>
        <v>!S.23.04.04.05 Rows {2}@ForceFilingCode:true</v>
      </c>
      <c r="AC60" s="13" t="str">
        <f>Show!$B$113&amp;"S.23.04.04.05 Columns {"&amp;COLUMN($B$1)&amp;"}"</f>
        <v>!S.23.04.04.05 Columns {2}</v>
      </c>
    </row>
    <row r="61" spans="2:29">
      <c r="B61" s="50"/>
      <c r="C61" s="51"/>
      <c r="D61" s="60"/>
    </row>
    <row r="63" spans="2:29">
      <c r="AB63" s="13" t="str">
        <f>Show!$B$113&amp;Show!$B$113&amp;"S.23.04.04.05 Rows {"&amp;COLUMN($B$1)&amp;"}"</f>
        <v>!!S.23.04.04.05 Rows {2}</v>
      </c>
      <c r="AC63" s="13" t="str">
        <f>Show!$B$113&amp;Show!$B$113&amp;"S.23.04.04.05 Columns {"&amp;COLUMN($D$1)&amp;"}"</f>
        <v>!!S.23.04.04.05 Columns {4}</v>
      </c>
    </row>
    <row r="65" spans="2:29" ht="18.75">
      <c r="B65" s="88" t="s">
        <v>4573</v>
      </c>
      <c r="C65" s="87"/>
      <c r="D65" s="87"/>
      <c r="E65" s="87"/>
      <c r="F65" s="87"/>
      <c r="G65" s="87"/>
      <c r="H65" s="87"/>
      <c r="I65" s="87"/>
      <c r="J65" s="87"/>
      <c r="K65" s="87"/>
      <c r="L65" s="87"/>
    </row>
    <row r="69" spans="2:29">
      <c r="B69" s="89" t="s">
        <v>3374</v>
      </c>
      <c r="C69" s="92" t="s">
        <v>2877</v>
      </c>
      <c r="D69" s="93"/>
      <c r="E69" s="93"/>
      <c r="F69" s="93"/>
      <c r="G69" s="93"/>
      <c r="H69" s="93"/>
      <c r="I69" s="94"/>
    </row>
    <row r="70" spans="2:29">
      <c r="B70" s="90"/>
      <c r="C70" s="95"/>
      <c r="D70" s="96"/>
      <c r="E70" s="96"/>
      <c r="F70" s="96"/>
      <c r="G70" s="96"/>
      <c r="H70" s="96"/>
      <c r="I70" s="97"/>
    </row>
    <row r="71" spans="2:29" ht="75">
      <c r="B71" s="91"/>
      <c r="C71" s="55" t="s">
        <v>4550</v>
      </c>
      <c r="D71" s="55" t="s">
        <v>4522</v>
      </c>
      <c r="E71" s="55" t="s">
        <v>4552</v>
      </c>
      <c r="F71" s="55" t="s">
        <v>3648</v>
      </c>
      <c r="G71" s="55" t="s">
        <v>4542</v>
      </c>
      <c r="H71" s="55" t="s">
        <v>4563</v>
      </c>
      <c r="I71" s="55" t="s">
        <v>4570</v>
      </c>
    </row>
    <row r="72" spans="2:29">
      <c r="B72" s="42" t="s">
        <v>4549</v>
      </c>
      <c r="C72" s="42" t="s">
        <v>4551</v>
      </c>
      <c r="D72" s="42" t="s">
        <v>3969</v>
      </c>
      <c r="E72" s="42" t="s">
        <v>3970</v>
      </c>
      <c r="F72" s="42" t="s">
        <v>3971</v>
      </c>
      <c r="G72" s="42" t="s">
        <v>3972</v>
      </c>
      <c r="H72" s="42" t="s">
        <v>3973</v>
      </c>
      <c r="I72" s="42" t="s">
        <v>3974</v>
      </c>
      <c r="AB72" s="13" t="str">
        <f>Show!$B$113&amp;"S.23.04.04.06 Rows {"&amp;COLUMN($B$1)&amp;"}"&amp;"@ForceFilingCode:true"</f>
        <v>!S.23.04.04.06 Rows {2}@ForceFilingCode:true</v>
      </c>
      <c r="AC72" s="13" t="str">
        <f>Show!$B$113&amp;"S.23.04.04.06 Columns {"&amp;COLUMN($B$1)&amp;"}"</f>
        <v>!S.23.04.04.06 Columns {2}</v>
      </c>
    </row>
    <row r="73" spans="2:29">
      <c r="B73" s="50"/>
      <c r="C73" s="51"/>
      <c r="D73" s="60"/>
      <c r="E73" s="51"/>
      <c r="F73" s="54"/>
      <c r="G73" s="54"/>
      <c r="H73" s="51"/>
      <c r="I73" s="51"/>
    </row>
    <row r="75" spans="2:29">
      <c r="AB75" s="13" t="str">
        <f>Show!$B$113&amp;Show!$B$113&amp;"S.23.04.04.06 Rows {"&amp;COLUMN($B$1)&amp;"}"</f>
        <v>!!S.23.04.04.06 Rows {2}</v>
      </c>
      <c r="AC75" s="13" t="str">
        <f>Show!$B$113&amp;Show!$B$113&amp;"S.23.04.04.06 Columns {"&amp;COLUMN($I$1)&amp;"}"</f>
        <v>!!S.23.04.04.06 Columns {9}</v>
      </c>
    </row>
    <row r="77" spans="2:29" ht="18.75">
      <c r="B77" s="88" t="s">
        <v>4574</v>
      </c>
      <c r="C77" s="87"/>
      <c r="D77" s="87"/>
      <c r="E77" s="87"/>
      <c r="F77" s="87"/>
      <c r="G77" s="87"/>
      <c r="H77" s="87"/>
      <c r="I77" s="87"/>
      <c r="J77" s="87"/>
      <c r="K77" s="87"/>
      <c r="L77" s="87"/>
    </row>
    <row r="81" spans="2:29">
      <c r="B81" s="89" t="s">
        <v>4554</v>
      </c>
      <c r="C81" s="92" t="s">
        <v>2877</v>
      </c>
      <c r="D81" s="93"/>
      <c r="E81" s="93"/>
      <c r="F81" s="93"/>
      <c r="G81" s="94"/>
    </row>
    <row r="82" spans="2:29">
      <c r="B82" s="90"/>
      <c r="C82" s="95"/>
      <c r="D82" s="96"/>
      <c r="E82" s="96"/>
      <c r="F82" s="96"/>
      <c r="G82" s="97"/>
    </row>
    <row r="83" spans="2:29" ht="135">
      <c r="B83" s="91"/>
      <c r="C83" s="55" t="s">
        <v>4555</v>
      </c>
      <c r="D83" s="55" t="s">
        <v>4556</v>
      </c>
      <c r="E83" s="55" t="s">
        <v>3314</v>
      </c>
      <c r="F83" s="55" t="s">
        <v>4558</v>
      </c>
      <c r="G83" s="55" t="s">
        <v>4381</v>
      </c>
    </row>
    <row r="84" spans="2:29">
      <c r="B84" s="42" t="s">
        <v>3975</v>
      </c>
      <c r="C84" s="42" t="s">
        <v>3976</v>
      </c>
      <c r="D84" s="42" t="s">
        <v>3977</v>
      </c>
      <c r="E84" s="42" t="s">
        <v>3978</v>
      </c>
      <c r="F84" s="42" t="s">
        <v>3979</v>
      </c>
      <c r="G84" s="42" t="s">
        <v>3980</v>
      </c>
      <c r="AB84" s="13" t="str">
        <f>Show!$B$113&amp;"S.23.04.04.07 Rows {"&amp;COLUMN($B$1)&amp;"}"&amp;"@ForceFilingCode:true"</f>
        <v>!S.23.04.04.07 Rows {2}@ForceFilingCode:true</v>
      </c>
      <c r="AC84" s="13" t="str">
        <f>Show!$B$113&amp;"S.23.04.04.07 Columns {"&amp;COLUMN($B$1)&amp;"}"</f>
        <v>!S.23.04.04.07 Columns {2}</v>
      </c>
    </row>
    <row r="85" spans="2:29">
      <c r="B85" s="50"/>
      <c r="C85" s="60"/>
      <c r="D85" s="60"/>
      <c r="E85" s="60"/>
      <c r="F85" s="60"/>
      <c r="G85" s="60"/>
    </row>
    <row r="87" spans="2:29">
      <c r="AB87" s="13" t="str">
        <f>Show!$B$113&amp;Show!$B$113&amp;"S.23.04.04.07 Rows {"&amp;COLUMN($B$1)&amp;"}"</f>
        <v>!!S.23.04.04.07 Rows {2}</v>
      </c>
      <c r="AC87" s="13" t="str">
        <f>Show!$B$113&amp;Show!$B$113&amp;"S.23.04.04.07 Columns {"&amp;COLUMN($G$1)&amp;"}"</f>
        <v>!!S.23.04.04.07 Columns {7}</v>
      </c>
    </row>
    <row r="89" spans="2:29" ht="18.75">
      <c r="B89" s="88" t="s">
        <v>4575</v>
      </c>
      <c r="C89" s="87"/>
      <c r="D89" s="87"/>
      <c r="E89" s="87"/>
      <c r="F89" s="87"/>
      <c r="G89" s="87"/>
      <c r="H89" s="87"/>
      <c r="I89" s="87"/>
      <c r="J89" s="87"/>
      <c r="K89" s="87"/>
      <c r="L89" s="87"/>
    </row>
    <row r="93" spans="2:29">
      <c r="D93" s="89" t="s">
        <v>2877</v>
      </c>
    </row>
    <row r="94" spans="2:29">
      <c r="D94" s="91"/>
    </row>
    <row r="95" spans="2:29" ht="135">
      <c r="D95" s="55" t="s">
        <v>4381</v>
      </c>
    </row>
    <row r="96" spans="2:29">
      <c r="D96" s="45" t="s">
        <v>4560</v>
      </c>
      <c r="AB96" s="13" t="str">
        <f>Show!$B$113&amp;"S.23.04.04.09 Rows {"&amp;COLUMN($C$1)&amp;"}"&amp;"@ForceFilingCode:true"</f>
        <v>!S.23.04.04.09 Rows {3}@ForceFilingCode:true</v>
      </c>
      <c r="AC96" s="13" t="str">
        <f>Show!$B$113&amp;"S.23.04.04.09 Columns {"&amp;COLUMN($D$1)&amp;"}"</f>
        <v>!S.23.04.04.09 Columns {4}</v>
      </c>
    </row>
    <row r="97" spans="2:29">
      <c r="B97" s="43" t="s">
        <v>2880</v>
      </c>
      <c r="C97" s="44" t="s">
        <v>2878</v>
      </c>
      <c r="D97" s="46"/>
    </row>
    <row r="98" spans="2:29" ht="30">
      <c r="B98" s="47" t="s">
        <v>4381</v>
      </c>
      <c r="C98" s="41" t="s">
        <v>2883</v>
      </c>
      <c r="D98" s="60"/>
    </row>
    <row r="100" spans="2:29">
      <c r="AB100" s="13" t="str">
        <f>Show!$B$113&amp;Show!$B$113&amp;"S.23.04.04.09 Rows {"&amp;COLUMN($C$1)&amp;"}"</f>
        <v>!!S.23.04.04.09 Rows {3}</v>
      </c>
      <c r="AC100" s="13" t="str">
        <f>Show!$B$113&amp;Show!$B$113&amp;"S.23.04.04.09 Columns {"&amp;COLUMN($D$1)&amp;"}"</f>
        <v>!!S.23.04.04.09 Columns {4}</v>
      </c>
    </row>
    <row r="102" spans="2:29" ht="18.75">
      <c r="B102" s="88" t="s">
        <v>4576</v>
      </c>
      <c r="C102" s="87"/>
      <c r="D102" s="87"/>
      <c r="E102" s="87"/>
      <c r="F102" s="87"/>
      <c r="G102" s="87"/>
      <c r="H102" s="87"/>
      <c r="I102" s="87"/>
      <c r="J102" s="87"/>
      <c r="K102" s="87"/>
      <c r="L102" s="87"/>
    </row>
    <row r="106" spans="2:29">
      <c r="B106" s="89" t="s">
        <v>3374</v>
      </c>
      <c r="C106" s="92" t="s">
        <v>2877</v>
      </c>
      <c r="D106" s="93"/>
      <c r="E106" s="93"/>
      <c r="F106" s="93"/>
      <c r="G106" s="93"/>
      <c r="H106" s="93"/>
      <c r="I106" s="93"/>
      <c r="J106" s="93"/>
      <c r="K106" s="93"/>
      <c r="L106" s="93"/>
      <c r="M106" s="93"/>
      <c r="N106" s="93"/>
      <c r="O106" s="93"/>
      <c r="P106" s="94"/>
    </row>
    <row r="107" spans="2:29">
      <c r="B107" s="90"/>
      <c r="C107" s="95"/>
      <c r="D107" s="96"/>
      <c r="E107" s="96"/>
      <c r="F107" s="96"/>
      <c r="G107" s="96"/>
      <c r="H107" s="96"/>
      <c r="I107" s="96"/>
      <c r="J107" s="96"/>
      <c r="K107" s="96"/>
      <c r="L107" s="96"/>
      <c r="M107" s="96"/>
      <c r="N107" s="96"/>
      <c r="O107" s="96"/>
      <c r="P107" s="97"/>
    </row>
    <row r="108" spans="2:29" ht="105">
      <c r="B108" s="91"/>
      <c r="C108" s="55" t="s">
        <v>4578</v>
      </c>
      <c r="D108" s="55" t="s">
        <v>56</v>
      </c>
      <c r="E108" s="55" t="s">
        <v>4579</v>
      </c>
      <c r="F108" s="55" t="s">
        <v>4580</v>
      </c>
      <c r="G108" s="55" t="s">
        <v>4396</v>
      </c>
      <c r="H108" s="55" t="s">
        <v>4581</v>
      </c>
      <c r="I108" s="55" t="s">
        <v>4582</v>
      </c>
      <c r="J108" s="55" t="s">
        <v>4584</v>
      </c>
      <c r="K108" s="55" t="s">
        <v>4586</v>
      </c>
      <c r="L108" s="55" t="s">
        <v>4587</v>
      </c>
      <c r="M108" s="55" t="s">
        <v>4588</v>
      </c>
      <c r="N108" s="55" t="s">
        <v>4394</v>
      </c>
      <c r="O108" s="55" t="s">
        <v>4589</v>
      </c>
      <c r="P108" s="55" t="s">
        <v>4590</v>
      </c>
    </row>
    <row r="109" spans="2:29">
      <c r="B109" s="42" t="s">
        <v>4577</v>
      </c>
      <c r="C109" s="42" t="s">
        <v>3981</v>
      </c>
      <c r="D109" s="42" t="s">
        <v>3982</v>
      </c>
      <c r="E109" s="42" t="s">
        <v>3983</v>
      </c>
      <c r="F109" s="42" t="s">
        <v>3984</v>
      </c>
      <c r="G109" s="42" t="s">
        <v>3986</v>
      </c>
      <c r="H109" s="42" t="s">
        <v>3987</v>
      </c>
      <c r="I109" s="42" t="s">
        <v>4583</v>
      </c>
      <c r="J109" s="42" t="s">
        <v>4585</v>
      </c>
      <c r="K109" s="42" t="s">
        <v>3989</v>
      </c>
      <c r="L109" s="42" t="s">
        <v>3990</v>
      </c>
      <c r="M109" s="42" t="s">
        <v>3991</v>
      </c>
      <c r="N109" s="42" t="s">
        <v>3992</v>
      </c>
      <c r="O109" s="42" t="s">
        <v>3993</v>
      </c>
      <c r="P109" s="42" t="s">
        <v>3994</v>
      </c>
      <c r="AB109" s="13" t="str">
        <f>Show!$B$113&amp;"S.23.04.04.10 Rows {"&amp;COLUMN($B$1)&amp;"}"&amp;"@ForceFilingCode:true"</f>
        <v>!S.23.04.04.10 Rows {2}@ForceFilingCode:true</v>
      </c>
      <c r="AC109" s="13" t="str">
        <f>Show!$B$113&amp;"S.23.04.04.10 Columns {"&amp;COLUMN($B$1)&amp;"}"</f>
        <v>!S.23.04.04.10 Columns {2}</v>
      </c>
    </row>
    <row r="110" spans="2:29">
      <c r="B110" s="50"/>
      <c r="C110" s="51"/>
      <c r="D110" s="51"/>
      <c r="E110" s="60"/>
      <c r="F110" s="60"/>
      <c r="G110" s="60"/>
      <c r="H110" s="60"/>
      <c r="I110" s="60"/>
      <c r="J110" s="60"/>
      <c r="K110" s="60"/>
      <c r="L110" s="60"/>
      <c r="M110" s="60"/>
      <c r="N110" s="60"/>
      <c r="O110" s="60"/>
      <c r="P110" s="60"/>
    </row>
    <row r="112" spans="2:29">
      <c r="AB112" s="13" t="str">
        <f>Show!$B$113&amp;Show!$B$113&amp;"S.23.04.04.10 Rows {"&amp;COLUMN($B$1)&amp;"}"</f>
        <v>!!S.23.04.04.10 Rows {2}</v>
      </c>
      <c r="AC112" s="13" t="str">
        <f>Show!$B$113&amp;Show!$B$113&amp;"S.23.04.04.10 Columns {"&amp;COLUMN($P$1)&amp;"}"</f>
        <v>!!S.23.04.04.10 Columns {16}</v>
      </c>
    </row>
    <row r="114" spans="2:29" ht="18.75">
      <c r="B114" s="88" t="s">
        <v>4591</v>
      </c>
      <c r="C114" s="87"/>
      <c r="D114" s="87"/>
      <c r="E114" s="87"/>
      <c r="F114" s="87"/>
      <c r="G114" s="87"/>
      <c r="H114" s="87"/>
      <c r="I114" s="87"/>
      <c r="J114" s="87"/>
      <c r="K114" s="87"/>
      <c r="L114" s="87"/>
    </row>
    <row r="118" spans="2:29">
      <c r="D118" s="92" t="s">
        <v>2877</v>
      </c>
      <c r="E118" s="93"/>
      <c r="F118" s="93"/>
      <c r="G118" s="93"/>
      <c r="H118" s="93"/>
      <c r="I118" s="93"/>
      <c r="J118" s="93"/>
      <c r="K118" s="93"/>
      <c r="L118" s="93"/>
      <c r="M118" s="93"/>
      <c r="N118" s="94"/>
    </row>
    <row r="119" spans="2:29">
      <c r="D119" s="95"/>
      <c r="E119" s="96"/>
      <c r="F119" s="96"/>
      <c r="G119" s="96"/>
      <c r="H119" s="96"/>
      <c r="I119" s="96"/>
      <c r="J119" s="96"/>
      <c r="K119" s="96"/>
      <c r="L119" s="96"/>
      <c r="M119" s="96"/>
      <c r="N119" s="97"/>
    </row>
    <row r="120" spans="2:29">
      <c r="D120" s="89" t="s">
        <v>4580</v>
      </c>
      <c r="E120" s="89" t="s">
        <v>4396</v>
      </c>
      <c r="F120" s="98" t="s">
        <v>4592</v>
      </c>
      <c r="G120" s="100"/>
      <c r="H120" s="100"/>
      <c r="I120" s="100"/>
      <c r="J120" s="100"/>
      <c r="K120" s="100"/>
      <c r="L120" s="99"/>
      <c r="M120" s="89" t="s">
        <v>4593</v>
      </c>
      <c r="N120" s="89" t="s">
        <v>4590</v>
      </c>
    </row>
    <row r="121" spans="2:29" ht="105">
      <c r="D121" s="91"/>
      <c r="E121" s="91"/>
      <c r="F121" s="55" t="s">
        <v>4581</v>
      </c>
      <c r="G121" s="55" t="s">
        <v>4582</v>
      </c>
      <c r="H121" s="55" t="s">
        <v>4584</v>
      </c>
      <c r="I121" s="55" t="s">
        <v>4586</v>
      </c>
      <c r="J121" s="55" t="s">
        <v>4587</v>
      </c>
      <c r="K121" s="55" t="s">
        <v>4588</v>
      </c>
      <c r="L121" s="55" t="s">
        <v>4394</v>
      </c>
      <c r="M121" s="91"/>
      <c r="N121" s="91"/>
    </row>
    <row r="122" spans="2:29">
      <c r="D122" s="45" t="s">
        <v>3995</v>
      </c>
      <c r="E122" s="45" t="s">
        <v>3996</v>
      </c>
      <c r="F122" s="45" t="s">
        <v>3997</v>
      </c>
      <c r="G122" s="45" t="s">
        <v>3998</v>
      </c>
      <c r="H122" s="45" t="s">
        <v>3999</v>
      </c>
      <c r="I122" s="45" t="s">
        <v>4000</v>
      </c>
      <c r="J122" s="45" t="s">
        <v>4001</v>
      </c>
      <c r="K122" s="45" t="s">
        <v>4002</v>
      </c>
      <c r="L122" s="45" t="s">
        <v>4003</v>
      </c>
      <c r="M122" s="45" t="s">
        <v>4004</v>
      </c>
      <c r="N122" s="45" t="s">
        <v>4006</v>
      </c>
      <c r="AB122" s="13" t="str">
        <f>Show!$B$113&amp;"S.23.04.04.11 Rows {"&amp;COLUMN($C$1)&amp;"}"&amp;"@ForceFilingCode:true"</f>
        <v>!S.23.04.04.11 Rows {3}@ForceFilingCode:true</v>
      </c>
      <c r="AC122" s="13" t="str">
        <f>Show!$B$113&amp;"S.23.04.04.11 Columns {"&amp;COLUMN($D$1)&amp;"}"</f>
        <v>!S.23.04.04.11 Columns {4}</v>
      </c>
    </row>
    <row r="123" spans="2:29">
      <c r="B123" s="43" t="s">
        <v>2880</v>
      </c>
      <c r="C123" s="44" t="s">
        <v>2878</v>
      </c>
      <c r="D123" s="56"/>
      <c r="E123" s="66"/>
      <c r="F123" s="66"/>
      <c r="G123" s="66"/>
      <c r="H123" s="66"/>
      <c r="I123" s="66"/>
      <c r="J123" s="66"/>
      <c r="K123" s="66"/>
      <c r="L123" s="66"/>
      <c r="M123" s="66"/>
      <c r="N123" s="57"/>
    </row>
    <row r="124" spans="2:29">
      <c r="B124" s="47" t="s">
        <v>3480</v>
      </c>
      <c r="C124" s="41" t="s">
        <v>2889</v>
      </c>
      <c r="D124" s="60"/>
      <c r="E124" s="60"/>
      <c r="F124" s="60"/>
      <c r="G124" s="60"/>
      <c r="H124" s="60"/>
      <c r="I124" s="60"/>
      <c r="J124" s="60"/>
      <c r="K124" s="60"/>
      <c r="L124" s="60"/>
      <c r="M124" s="60"/>
      <c r="N124" s="60"/>
    </row>
    <row r="126" spans="2:29">
      <c r="AB126" s="13" t="str">
        <f>Show!$B$113&amp;Show!$B$113&amp;"S.23.04.04.11 Rows {"&amp;COLUMN($C$1)&amp;"}"</f>
        <v>!!S.23.04.04.11 Rows {3}</v>
      </c>
      <c r="AC126" s="13" t="str">
        <f>Show!$B$113&amp;Show!$B$113&amp;"S.23.04.04.11 Columns {"&amp;COLUMN($N$1)&amp;"}"</f>
        <v>!!S.23.04.04.11 Columns {14}</v>
      </c>
    </row>
  </sheetData>
  <sheetProtection sheet="1" objects="1" scenarios="1"/>
  <mergeCells count="34">
    <mergeCell ref="B21:B23"/>
    <mergeCell ref="C21:J22"/>
    <mergeCell ref="B2:O2"/>
    <mergeCell ref="B5:L5"/>
    <mergeCell ref="B9:B11"/>
    <mergeCell ref="C9:T10"/>
    <mergeCell ref="B17:L17"/>
    <mergeCell ref="B29:L29"/>
    <mergeCell ref="B33:B35"/>
    <mergeCell ref="C33:T34"/>
    <mergeCell ref="B41:L41"/>
    <mergeCell ref="B45:B47"/>
    <mergeCell ref="C45:N46"/>
    <mergeCell ref="B102:L102"/>
    <mergeCell ref="B53:L53"/>
    <mergeCell ref="B57:B59"/>
    <mergeCell ref="C57:D58"/>
    <mergeCell ref="B65:L65"/>
    <mergeCell ref="B69:B71"/>
    <mergeCell ref="C69:I70"/>
    <mergeCell ref="B77:L77"/>
    <mergeCell ref="B81:B83"/>
    <mergeCell ref="C81:G82"/>
    <mergeCell ref="B89:L89"/>
    <mergeCell ref="D93:D94"/>
    <mergeCell ref="B106:B108"/>
    <mergeCell ref="C106:P107"/>
    <mergeCell ref="B114:L114"/>
    <mergeCell ref="D118:N119"/>
    <mergeCell ref="D120:D121"/>
    <mergeCell ref="E120:E121"/>
    <mergeCell ref="F120:L120"/>
    <mergeCell ref="M120:M121"/>
    <mergeCell ref="N120:N121"/>
  </mergeCells>
  <dataValidations count="6">
    <dataValidation type="list" errorStyle="warning" allowBlank="1" showInputMessage="1" showErrorMessage="1" sqref="E13 E37" xr:uid="{BD4E5E70-1347-4EAA-B5E4-A9AA0D15456D}">
      <formula1>hier_EL_13</formula1>
    </dataValidation>
    <dataValidation type="list" errorStyle="warning" allowBlank="1" showInputMessage="1" showErrorMessage="1" sqref="F13 F37 E49" xr:uid="{218EE82C-33CA-48DB-924B-A4F05513A40C}">
      <formula1>hier_CU_1</formula1>
    </dataValidation>
    <dataValidation type="list" errorStyle="warning" allowBlank="1" showInputMessage="1" showErrorMessage="1" sqref="G13 G37" xr:uid="{278A477D-C251-4ACD-8CA8-5260CF4E6508}">
      <formula1>hier_CS_11</formula1>
    </dataValidation>
    <dataValidation type="list" errorStyle="warning" allowBlank="1" showInputMessage="1" showErrorMessage="1" sqref="I13 E25 I37" xr:uid="{AADB3013-1384-4F3E-A69D-830EC6BCB095}">
      <formula1>hier_EL_14</formula1>
    </dataValidation>
    <dataValidation type="date" operator="greaterThan" allowBlank="1" showInputMessage="1" showErrorMessage="1" errorTitle="Date value" error="This cell can only contain dates" sqref="F73:G73 I49 P37 K37:M37 G25:H25 P13 K13:M13" xr:uid="{16A308CB-C503-47EA-9828-2CD7583D2AD8}">
      <formula1>1</formula1>
    </dataValidation>
    <dataValidation type="list" errorStyle="warning" allowBlank="1" showInputMessage="1" showErrorMessage="1" sqref="D110" xr:uid="{59DD8365-2C48-434A-AE06-D8564AF64277}">
      <formula1>hier_GA_18</formula1>
    </dataValidation>
  </dataValidations>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560D1-BB9F-4D01-8F50-24FDF8E3BCD2}">
  <sheetPr codeName="Blad118"/>
  <dimension ref="B2:P147"/>
  <sheetViews>
    <sheetView showGridLines="0" workbookViewId="0"/>
  </sheetViews>
  <sheetFormatPr defaultRowHeight="15"/>
  <cols>
    <col min="2" max="2" width="29.140625" bestFit="1" customWidth="1"/>
    <col min="3" max="3" width="40.7109375" customWidth="1"/>
    <col min="4" max="7" width="15.7109375" customWidth="1"/>
  </cols>
  <sheetData>
    <row r="2" spans="2:16" ht="23.25">
      <c r="B2" s="86" t="s">
        <v>685</v>
      </c>
      <c r="C2" s="87"/>
      <c r="D2" s="87"/>
      <c r="E2" s="87"/>
      <c r="F2" s="87"/>
      <c r="G2" s="87"/>
      <c r="H2" s="87"/>
      <c r="I2" s="87"/>
      <c r="J2" s="87"/>
      <c r="K2" s="87"/>
      <c r="L2" s="87"/>
      <c r="M2" s="87"/>
      <c r="N2" s="87"/>
      <c r="O2" s="87"/>
    </row>
    <row r="5" spans="2:16" ht="18.75">
      <c r="B5" s="88" t="s">
        <v>4594</v>
      </c>
      <c r="C5" s="87"/>
      <c r="D5" s="87"/>
      <c r="E5" s="87"/>
      <c r="F5" s="87"/>
      <c r="G5" s="87"/>
      <c r="H5" s="87"/>
      <c r="I5" s="87"/>
      <c r="J5" s="87"/>
      <c r="K5" s="87"/>
      <c r="L5" s="87"/>
    </row>
    <row r="9" spans="2:16">
      <c r="B9" s="89" t="s">
        <v>3582</v>
      </c>
      <c r="C9" s="92" t="s">
        <v>2877</v>
      </c>
      <c r="D9" s="93"/>
      <c r="E9" s="93"/>
      <c r="F9" s="93"/>
      <c r="G9" s="94"/>
    </row>
    <row r="10" spans="2:16">
      <c r="B10" s="90"/>
      <c r="C10" s="95"/>
      <c r="D10" s="96"/>
      <c r="E10" s="96"/>
      <c r="F10" s="96"/>
      <c r="G10" s="97"/>
    </row>
    <row r="11" spans="2:16" ht="30">
      <c r="B11" s="91"/>
      <c r="C11" s="55" t="s">
        <v>4595</v>
      </c>
      <c r="D11" s="55" t="s">
        <v>3480</v>
      </c>
      <c r="E11" s="55" t="s">
        <v>4596</v>
      </c>
      <c r="F11" s="55" t="s">
        <v>4597</v>
      </c>
      <c r="G11" s="55" t="s">
        <v>2548</v>
      </c>
    </row>
    <row r="12" spans="2:16">
      <c r="B12" s="42" t="s">
        <v>3219</v>
      </c>
      <c r="C12" s="42" t="s">
        <v>2879</v>
      </c>
      <c r="D12" s="42" t="s">
        <v>3223</v>
      </c>
      <c r="E12" s="42" t="s">
        <v>3229</v>
      </c>
      <c r="F12" s="42" t="s">
        <v>3231</v>
      </c>
      <c r="G12" s="42" t="s">
        <v>3233</v>
      </c>
      <c r="O12" s="13" t="str">
        <f>Show!$B$114&amp;"S.24.01.01.01 Rows {"&amp;COLUMN($B$1)&amp;"}"&amp;"@ForceFilingCode:true"</f>
        <v>!S.24.01.01.01 Rows {2}@ForceFilingCode:true</v>
      </c>
      <c r="P12" s="13" t="str">
        <f>Show!$B$114&amp;"S.24.01.01.01 Columns {"&amp;COLUMN($B$1)&amp;"}"</f>
        <v>!S.24.01.01.01 Columns {2}</v>
      </c>
    </row>
    <row r="13" spans="2:16">
      <c r="B13" s="50"/>
      <c r="C13" s="51"/>
      <c r="D13" s="60"/>
      <c r="E13" s="60"/>
      <c r="F13" s="60"/>
      <c r="G13" s="60"/>
    </row>
    <row r="15" spans="2:16">
      <c r="O15" s="13" t="str">
        <f>Show!$B$114&amp;Show!$B$114&amp;"S.24.01.01.01 Rows {"&amp;COLUMN($B$1)&amp;"}"</f>
        <v>!!S.24.01.01.01 Rows {2}</v>
      </c>
      <c r="P15" s="13" t="str">
        <f>Show!$B$114&amp;Show!$B$114&amp;"S.24.01.01.01 Columns {"&amp;COLUMN($G$1)&amp;"}"</f>
        <v>!!S.24.01.01.01 Columns {7}</v>
      </c>
    </row>
    <row r="17" spans="2:16" ht="18.75">
      <c r="B17" s="88" t="s">
        <v>4598</v>
      </c>
      <c r="C17" s="87"/>
      <c r="D17" s="87"/>
      <c r="E17" s="87"/>
      <c r="F17" s="87"/>
      <c r="G17" s="87"/>
      <c r="H17" s="87"/>
      <c r="I17" s="87"/>
      <c r="J17" s="87"/>
      <c r="K17" s="87"/>
      <c r="L17" s="87"/>
    </row>
    <row r="21" spans="2:16">
      <c r="B21" s="89" t="s">
        <v>3582</v>
      </c>
      <c r="C21" s="92" t="s">
        <v>2877</v>
      </c>
      <c r="D21" s="93"/>
      <c r="E21" s="93"/>
      <c r="F21" s="93"/>
      <c r="G21" s="94"/>
    </row>
    <row r="22" spans="2:16">
      <c r="B22" s="90"/>
      <c r="C22" s="95"/>
      <c r="D22" s="96"/>
      <c r="E22" s="96"/>
      <c r="F22" s="96"/>
      <c r="G22" s="97"/>
    </row>
    <row r="23" spans="2:16" ht="30">
      <c r="B23" s="91"/>
      <c r="C23" s="55" t="s">
        <v>4595</v>
      </c>
      <c r="D23" s="55" t="s">
        <v>3480</v>
      </c>
      <c r="E23" s="55" t="s">
        <v>4596</v>
      </c>
      <c r="F23" s="55" t="s">
        <v>4597</v>
      </c>
      <c r="G23" s="55" t="s">
        <v>2548</v>
      </c>
    </row>
    <row r="24" spans="2:16">
      <c r="B24" s="42" t="s">
        <v>3236</v>
      </c>
      <c r="C24" s="42" t="s">
        <v>3234</v>
      </c>
      <c r="D24" s="42" t="s">
        <v>3241</v>
      </c>
      <c r="E24" s="42" t="s">
        <v>3243</v>
      </c>
      <c r="F24" s="42" t="s">
        <v>3375</v>
      </c>
      <c r="G24" s="42" t="s">
        <v>3475</v>
      </c>
      <c r="O24" s="13" t="str">
        <f>Show!$B$114&amp;"S.24.01.01.02 Rows {"&amp;COLUMN($B$1)&amp;"}"&amp;"@ForceFilingCode:true"</f>
        <v>!S.24.01.01.02 Rows {2}@ForceFilingCode:true</v>
      </c>
      <c r="P24" s="13" t="str">
        <f>Show!$B$114&amp;"S.24.01.01.02 Columns {"&amp;COLUMN($B$1)&amp;"}"</f>
        <v>!S.24.01.01.02 Columns {2}</v>
      </c>
    </row>
    <row r="25" spans="2:16">
      <c r="B25" s="50"/>
      <c r="C25" s="51"/>
      <c r="D25" s="60"/>
      <c r="E25" s="60"/>
      <c r="F25" s="60"/>
      <c r="G25" s="60"/>
    </row>
    <row r="27" spans="2:16">
      <c r="O27" s="13" t="str">
        <f>Show!$B$114&amp;Show!$B$114&amp;"S.24.01.01.02 Rows {"&amp;COLUMN($B$1)&amp;"}"</f>
        <v>!!S.24.01.01.02 Rows {2}</v>
      </c>
      <c r="P27" s="13" t="str">
        <f>Show!$B$114&amp;Show!$B$114&amp;"S.24.01.01.02 Columns {"&amp;COLUMN($G$1)&amp;"}"</f>
        <v>!!S.24.01.01.02 Columns {7}</v>
      </c>
    </row>
    <row r="29" spans="2:16" ht="18.75">
      <c r="B29" s="88" t="s">
        <v>4599</v>
      </c>
      <c r="C29" s="87"/>
      <c r="D29" s="87"/>
      <c r="E29" s="87"/>
      <c r="F29" s="87"/>
      <c r="G29" s="87"/>
      <c r="H29" s="87"/>
      <c r="I29" s="87"/>
      <c r="J29" s="87"/>
      <c r="K29" s="87"/>
      <c r="L29" s="87"/>
    </row>
    <row r="33" spans="2:16">
      <c r="D33" s="92" t="s">
        <v>2877</v>
      </c>
      <c r="E33" s="93"/>
      <c r="F33" s="93"/>
      <c r="G33" s="94"/>
    </row>
    <row r="34" spans="2:16">
      <c r="D34" s="95"/>
      <c r="E34" s="96"/>
      <c r="F34" s="96"/>
      <c r="G34" s="97"/>
    </row>
    <row r="35" spans="2:16" ht="30">
      <c r="D35" s="55" t="s">
        <v>3480</v>
      </c>
      <c r="E35" s="55" t="s">
        <v>4596</v>
      </c>
      <c r="F35" s="55" t="s">
        <v>4597</v>
      </c>
      <c r="G35" s="55" t="s">
        <v>2548</v>
      </c>
    </row>
    <row r="36" spans="2:16">
      <c r="D36" s="45" t="s">
        <v>3477</v>
      </c>
      <c r="E36" s="45" t="s">
        <v>3479</v>
      </c>
      <c r="F36" s="45" t="s">
        <v>3594</v>
      </c>
      <c r="G36" s="45" t="s">
        <v>3596</v>
      </c>
      <c r="O36" s="13" t="str">
        <f>Show!$B$114&amp;"S.24.01.01.03 Rows {"&amp;COLUMN($C$1)&amp;"}"&amp;"@ForceFilingCode:true"</f>
        <v>!S.24.01.01.03 Rows {3}@ForceFilingCode:true</v>
      </c>
      <c r="P36" s="13" t="str">
        <f>Show!$B$114&amp;"S.24.01.01.03 Columns {"&amp;COLUMN($D$1)&amp;"}"</f>
        <v>!S.24.01.01.03 Columns {4}</v>
      </c>
    </row>
    <row r="37" spans="2:16">
      <c r="B37" s="43" t="s">
        <v>2880</v>
      </c>
      <c r="C37" s="44" t="s">
        <v>2878</v>
      </c>
      <c r="D37" s="56"/>
      <c r="E37" s="66"/>
      <c r="F37" s="66"/>
      <c r="G37" s="57"/>
    </row>
    <row r="38" spans="2:16" ht="75">
      <c r="B38" s="47" t="s">
        <v>4600</v>
      </c>
      <c r="C38" s="41" t="s">
        <v>4601</v>
      </c>
      <c r="D38" s="60"/>
      <c r="E38" s="60"/>
      <c r="F38" s="60"/>
      <c r="G38" s="60"/>
    </row>
    <row r="40" spans="2:16">
      <c r="O40" s="13" t="str">
        <f>Show!$B$114&amp;Show!$B$114&amp;"S.24.01.01.03 Rows {"&amp;COLUMN($C$1)&amp;"}"</f>
        <v>!!S.24.01.01.03 Rows {3}</v>
      </c>
      <c r="P40" s="13" t="str">
        <f>Show!$B$114&amp;Show!$B$114&amp;"S.24.01.01.03 Columns {"&amp;COLUMN($G$1)&amp;"}"</f>
        <v>!!S.24.01.01.03 Columns {7}</v>
      </c>
    </row>
    <row r="42" spans="2:16" ht="18.75">
      <c r="B42" s="88" t="s">
        <v>4602</v>
      </c>
      <c r="C42" s="87"/>
      <c r="D42" s="87"/>
      <c r="E42" s="87"/>
      <c r="F42" s="87"/>
      <c r="G42" s="87"/>
      <c r="H42" s="87"/>
      <c r="I42" s="87"/>
      <c r="J42" s="87"/>
      <c r="K42" s="87"/>
      <c r="L42" s="87"/>
    </row>
    <row r="46" spans="2:16">
      <c r="D46" s="92" t="s">
        <v>2877</v>
      </c>
      <c r="E46" s="93"/>
      <c r="F46" s="93"/>
      <c r="G46" s="94"/>
    </row>
    <row r="47" spans="2:16">
      <c r="D47" s="95"/>
      <c r="E47" s="96"/>
      <c r="F47" s="96"/>
      <c r="G47" s="97"/>
    </row>
    <row r="48" spans="2:16" ht="30">
      <c r="D48" s="55" t="s">
        <v>3480</v>
      </c>
      <c r="E48" s="55" t="s">
        <v>2546</v>
      </c>
      <c r="F48" s="55" t="s">
        <v>2547</v>
      </c>
      <c r="G48" s="55" t="s">
        <v>2548</v>
      </c>
    </row>
    <row r="49" spans="2:16">
      <c r="D49" s="45" t="s">
        <v>3599</v>
      </c>
      <c r="E49" s="45" t="s">
        <v>3481</v>
      </c>
      <c r="F49" s="45" t="s">
        <v>3508</v>
      </c>
      <c r="G49" s="45" t="s">
        <v>3509</v>
      </c>
      <c r="O49" s="13" t="str">
        <f>Show!$B$114&amp;"S.24.01.01.04 Rows {"&amp;COLUMN($C$1)&amp;"}"&amp;"@ForceFilingCode:true"</f>
        <v>!S.24.01.01.04 Rows {3}@ForceFilingCode:true</v>
      </c>
      <c r="P49" s="13" t="str">
        <f>Show!$B$114&amp;"S.24.01.01.04 Columns {"&amp;COLUMN($D$1)&amp;"}"</f>
        <v>!S.24.01.01.04 Columns {4}</v>
      </c>
    </row>
    <row r="50" spans="2:16">
      <c r="B50" s="43" t="s">
        <v>2880</v>
      </c>
      <c r="C50" s="44" t="s">
        <v>2878</v>
      </c>
      <c r="D50" s="56"/>
      <c r="E50" s="66"/>
      <c r="F50" s="66"/>
      <c r="G50" s="57"/>
    </row>
    <row r="51" spans="2:16">
      <c r="B51" s="47" t="s">
        <v>4603</v>
      </c>
      <c r="C51" s="41" t="s">
        <v>2883</v>
      </c>
      <c r="D51" s="60"/>
      <c r="E51" s="60"/>
      <c r="F51" s="60"/>
      <c r="G51" s="60"/>
    </row>
    <row r="52" spans="2:16">
      <c r="B52" s="47" t="s">
        <v>4604</v>
      </c>
      <c r="C52" s="41" t="s">
        <v>2885</v>
      </c>
      <c r="D52" s="60"/>
      <c r="E52" s="60"/>
      <c r="F52" s="60"/>
      <c r="G52" s="60"/>
    </row>
    <row r="53" spans="2:16">
      <c r="B53" s="47" t="s">
        <v>3480</v>
      </c>
      <c r="C53" s="41" t="s">
        <v>2887</v>
      </c>
      <c r="D53" s="60"/>
      <c r="E53" s="60"/>
      <c r="F53" s="60"/>
      <c r="G53" s="60"/>
    </row>
    <row r="55" spans="2:16">
      <c r="O55" s="13" t="str">
        <f>Show!$B$114&amp;Show!$B$114&amp;"S.24.01.01.04 Rows {"&amp;COLUMN($C$1)&amp;"}"</f>
        <v>!!S.24.01.01.04 Rows {3}</v>
      </c>
      <c r="P55" s="13" t="str">
        <f>Show!$B$114&amp;Show!$B$114&amp;"S.24.01.01.04 Columns {"&amp;COLUMN($G$1)&amp;"}"</f>
        <v>!!S.24.01.01.04 Columns {7}</v>
      </c>
    </row>
    <row r="57" spans="2:16" ht="18.75">
      <c r="B57" s="88" t="s">
        <v>4605</v>
      </c>
      <c r="C57" s="87"/>
      <c r="D57" s="87"/>
      <c r="E57" s="87"/>
      <c r="F57" s="87"/>
      <c r="G57" s="87"/>
      <c r="H57" s="87"/>
      <c r="I57" s="87"/>
      <c r="J57" s="87"/>
      <c r="K57" s="87"/>
      <c r="L57" s="87"/>
    </row>
    <row r="61" spans="2:16">
      <c r="B61" s="89" t="s">
        <v>3582</v>
      </c>
      <c r="C61" s="92" t="s">
        <v>2877</v>
      </c>
      <c r="D61" s="93"/>
      <c r="E61" s="93"/>
      <c r="F61" s="93"/>
      <c r="G61" s="94"/>
    </row>
    <row r="62" spans="2:16">
      <c r="B62" s="90"/>
      <c r="C62" s="95"/>
      <c r="D62" s="96"/>
      <c r="E62" s="96"/>
      <c r="F62" s="96"/>
      <c r="G62" s="97"/>
    </row>
    <row r="63" spans="2:16" ht="30">
      <c r="B63" s="91"/>
      <c r="C63" s="55" t="s">
        <v>4595</v>
      </c>
      <c r="D63" s="55" t="s">
        <v>3480</v>
      </c>
      <c r="E63" s="55" t="s">
        <v>4606</v>
      </c>
      <c r="F63" s="55" t="s">
        <v>4607</v>
      </c>
      <c r="G63" s="55" t="s">
        <v>3309</v>
      </c>
    </row>
    <row r="64" spans="2:16">
      <c r="B64" s="42" t="s">
        <v>3513</v>
      </c>
      <c r="C64" s="42" t="s">
        <v>3511</v>
      </c>
      <c r="D64" s="42" t="s">
        <v>3515</v>
      </c>
      <c r="E64" s="42" t="s">
        <v>3517</v>
      </c>
      <c r="F64" s="42" t="s">
        <v>3518</v>
      </c>
      <c r="G64" s="42" t="s">
        <v>3608</v>
      </c>
      <c r="O64" s="13" t="str">
        <f>Show!$B$114&amp;"S.24.01.01.05 Rows {"&amp;COLUMN($B$1)&amp;"}"&amp;"@ForceFilingCode:true"</f>
        <v>!S.24.01.01.05 Rows {2}@ForceFilingCode:true</v>
      </c>
      <c r="P64" s="13" t="str">
        <f>Show!$B$114&amp;"S.24.01.01.05 Columns {"&amp;COLUMN($B$1)&amp;"}"</f>
        <v>!S.24.01.01.05 Columns {2}</v>
      </c>
    </row>
    <row r="65" spans="2:16">
      <c r="B65" s="50"/>
      <c r="C65" s="51"/>
      <c r="D65" s="60"/>
      <c r="E65" s="60"/>
      <c r="F65" s="60"/>
      <c r="G65" s="60"/>
    </row>
    <row r="67" spans="2:16">
      <c r="O67" s="13" t="str">
        <f>Show!$B$114&amp;Show!$B$114&amp;"S.24.01.01.05 Rows {"&amp;COLUMN($B$1)&amp;"}"</f>
        <v>!!S.24.01.01.05 Rows {2}</v>
      </c>
      <c r="P67" s="13" t="str">
        <f>Show!$B$114&amp;Show!$B$114&amp;"S.24.01.01.05 Columns {"&amp;COLUMN($G$1)&amp;"}"</f>
        <v>!!S.24.01.01.05 Columns {7}</v>
      </c>
    </row>
    <row r="69" spans="2:16" ht="18.75">
      <c r="B69" s="88" t="s">
        <v>4608</v>
      </c>
      <c r="C69" s="87"/>
      <c r="D69" s="87"/>
      <c r="E69" s="87"/>
      <c r="F69" s="87"/>
      <c r="G69" s="87"/>
      <c r="H69" s="87"/>
      <c r="I69" s="87"/>
      <c r="J69" s="87"/>
      <c r="K69" s="87"/>
      <c r="L69" s="87"/>
    </row>
    <row r="73" spans="2:16">
      <c r="B73" s="89" t="s">
        <v>3582</v>
      </c>
      <c r="C73" s="92" t="s">
        <v>2877</v>
      </c>
      <c r="D73" s="93"/>
      <c r="E73" s="93"/>
      <c r="F73" s="93"/>
      <c r="G73" s="94"/>
    </row>
    <row r="74" spans="2:16">
      <c r="B74" s="90"/>
      <c r="C74" s="95"/>
      <c r="D74" s="96"/>
      <c r="E74" s="96"/>
      <c r="F74" s="96"/>
      <c r="G74" s="97"/>
    </row>
    <row r="75" spans="2:16" ht="30">
      <c r="B75" s="91"/>
      <c r="C75" s="55" t="s">
        <v>4595</v>
      </c>
      <c r="D75" s="55" t="s">
        <v>3480</v>
      </c>
      <c r="E75" s="55" t="s">
        <v>4606</v>
      </c>
      <c r="F75" s="55" t="s">
        <v>4607</v>
      </c>
      <c r="G75" s="55" t="s">
        <v>3309</v>
      </c>
    </row>
    <row r="76" spans="2:16">
      <c r="B76" s="42" t="s">
        <v>3612</v>
      </c>
      <c r="C76" s="42" t="s">
        <v>3519</v>
      </c>
      <c r="D76" s="42" t="s">
        <v>3616</v>
      </c>
      <c r="E76" s="42" t="s">
        <v>3618</v>
      </c>
      <c r="F76" s="42" t="s">
        <v>3620</v>
      </c>
      <c r="G76" s="42" t="s">
        <v>3622</v>
      </c>
      <c r="O76" s="13" t="str">
        <f>Show!$B$114&amp;"S.24.01.01.06 Rows {"&amp;COLUMN($B$1)&amp;"}"&amp;"@ForceFilingCode:true"</f>
        <v>!S.24.01.01.06 Rows {2}@ForceFilingCode:true</v>
      </c>
      <c r="P76" s="13" t="str">
        <f>Show!$B$114&amp;"S.24.01.01.06 Columns {"&amp;COLUMN($B$1)&amp;"}"</f>
        <v>!S.24.01.01.06 Columns {2}</v>
      </c>
    </row>
    <row r="77" spans="2:16">
      <c r="B77" s="50"/>
      <c r="C77" s="51"/>
      <c r="D77" s="60"/>
      <c r="E77" s="60"/>
      <c r="F77" s="60"/>
      <c r="G77" s="60"/>
    </row>
    <row r="79" spans="2:16">
      <c r="O79" s="13" t="str">
        <f>Show!$B$114&amp;Show!$B$114&amp;"S.24.01.01.06 Rows {"&amp;COLUMN($B$1)&amp;"}"</f>
        <v>!!S.24.01.01.06 Rows {2}</v>
      </c>
      <c r="P79" s="13" t="str">
        <f>Show!$B$114&amp;Show!$B$114&amp;"S.24.01.01.06 Columns {"&amp;COLUMN($G$1)&amp;"}"</f>
        <v>!!S.24.01.01.06 Columns {7}</v>
      </c>
    </row>
    <row r="81" spans="2:16" ht="18.75">
      <c r="B81" s="88" t="s">
        <v>4609</v>
      </c>
      <c r="C81" s="87"/>
      <c r="D81" s="87"/>
      <c r="E81" s="87"/>
      <c r="F81" s="87"/>
      <c r="G81" s="87"/>
      <c r="H81" s="87"/>
      <c r="I81" s="87"/>
      <c r="J81" s="87"/>
      <c r="K81" s="87"/>
      <c r="L81" s="87"/>
    </row>
    <row r="85" spans="2:16">
      <c r="B85" s="89" t="s">
        <v>3582</v>
      </c>
      <c r="C85" s="92" t="s">
        <v>2877</v>
      </c>
      <c r="D85" s="93"/>
      <c r="E85" s="93"/>
      <c r="F85" s="93"/>
      <c r="G85" s="94"/>
    </row>
    <row r="86" spans="2:16">
      <c r="B86" s="90"/>
      <c r="C86" s="95"/>
      <c r="D86" s="96"/>
      <c r="E86" s="96"/>
      <c r="F86" s="96"/>
      <c r="G86" s="97"/>
    </row>
    <row r="87" spans="2:16" ht="30">
      <c r="B87" s="91"/>
      <c r="C87" s="55" t="s">
        <v>4595</v>
      </c>
      <c r="D87" s="55" t="s">
        <v>3480</v>
      </c>
      <c r="E87" s="55" t="s">
        <v>4606</v>
      </c>
      <c r="F87" s="55" t="s">
        <v>4607</v>
      </c>
      <c r="G87" s="55" t="s">
        <v>3309</v>
      </c>
    </row>
    <row r="88" spans="2:16">
      <c r="B88" s="42" t="s">
        <v>3626</v>
      </c>
      <c r="C88" s="42" t="s">
        <v>3624</v>
      </c>
      <c r="D88" s="42" t="s">
        <v>3634</v>
      </c>
      <c r="E88" s="42" t="s">
        <v>3636</v>
      </c>
      <c r="F88" s="42" t="s">
        <v>3701</v>
      </c>
      <c r="G88" s="42" t="s">
        <v>3702</v>
      </c>
      <c r="O88" s="13" t="str">
        <f>Show!$B$114&amp;"S.24.01.01.07 Rows {"&amp;COLUMN($B$1)&amp;"}"&amp;"@ForceFilingCode:true"</f>
        <v>!S.24.01.01.07 Rows {2}@ForceFilingCode:true</v>
      </c>
      <c r="P88" s="13" t="str">
        <f>Show!$B$114&amp;"S.24.01.01.07 Columns {"&amp;COLUMN($B$1)&amp;"}"</f>
        <v>!S.24.01.01.07 Columns {2}</v>
      </c>
    </row>
    <row r="89" spans="2:16">
      <c r="B89" s="50"/>
      <c r="C89" s="51"/>
      <c r="D89" s="60"/>
      <c r="E89" s="60"/>
      <c r="F89" s="60"/>
      <c r="G89" s="60"/>
    </row>
    <row r="91" spans="2:16">
      <c r="O91" s="13" t="str">
        <f>Show!$B$114&amp;Show!$B$114&amp;"S.24.01.01.07 Rows {"&amp;COLUMN($B$1)&amp;"}"</f>
        <v>!!S.24.01.01.07 Rows {2}</v>
      </c>
      <c r="P91" s="13" t="str">
        <f>Show!$B$114&amp;Show!$B$114&amp;"S.24.01.01.07 Columns {"&amp;COLUMN($G$1)&amp;"}"</f>
        <v>!!S.24.01.01.07 Columns {7}</v>
      </c>
    </row>
    <row r="93" spans="2:16" ht="18.75">
      <c r="B93" s="88" t="s">
        <v>4610</v>
      </c>
      <c r="C93" s="87"/>
      <c r="D93" s="87"/>
      <c r="E93" s="87"/>
      <c r="F93" s="87"/>
      <c r="G93" s="87"/>
      <c r="H93" s="87"/>
      <c r="I93" s="87"/>
      <c r="J93" s="87"/>
      <c r="K93" s="87"/>
      <c r="L93" s="87"/>
    </row>
    <row r="97" spans="2:16">
      <c r="B97" s="89" t="s">
        <v>3582</v>
      </c>
      <c r="C97" s="92" t="s">
        <v>2877</v>
      </c>
      <c r="D97" s="93"/>
      <c r="E97" s="93"/>
      <c r="F97" s="93"/>
      <c r="G97" s="94"/>
    </row>
    <row r="98" spans="2:16">
      <c r="B98" s="90"/>
      <c r="C98" s="95"/>
      <c r="D98" s="96"/>
      <c r="E98" s="96"/>
      <c r="F98" s="96"/>
      <c r="G98" s="97"/>
    </row>
    <row r="99" spans="2:16" ht="30">
      <c r="B99" s="91"/>
      <c r="C99" s="55" t="s">
        <v>4595</v>
      </c>
      <c r="D99" s="55" t="s">
        <v>3480</v>
      </c>
      <c r="E99" s="55" t="s">
        <v>4606</v>
      </c>
      <c r="F99" s="55" t="s">
        <v>4607</v>
      </c>
      <c r="G99" s="55" t="s">
        <v>3309</v>
      </c>
    </row>
    <row r="100" spans="2:16">
      <c r="B100" s="42" t="s">
        <v>3955</v>
      </c>
      <c r="C100" s="42" t="s">
        <v>3675</v>
      </c>
      <c r="D100" s="42" t="s">
        <v>3957</v>
      </c>
      <c r="E100" s="42" t="s">
        <v>3958</v>
      </c>
      <c r="F100" s="42" t="s">
        <v>3959</v>
      </c>
      <c r="G100" s="42" t="s">
        <v>3960</v>
      </c>
      <c r="O100" s="13" t="str">
        <f>Show!$B$114&amp;"S.24.01.01.08 Rows {"&amp;COLUMN($B$1)&amp;"}"&amp;"@ForceFilingCode:true"</f>
        <v>!S.24.01.01.08 Rows {2}@ForceFilingCode:true</v>
      </c>
      <c r="P100" s="13" t="str">
        <f>Show!$B$114&amp;"S.24.01.01.08 Columns {"&amp;COLUMN($B$1)&amp;"}"</f>
        <v>!S.24.01.01.08 Columns {2}</v>
      </c>
    </row>
    <row r="101" spans="2:16">
      <c r="B101" s="50"/>
      <c r="C101" s="51"/>
      <c r="D101" s="60"/>
      <c r="E101" s="60"/>
      <c r="F101" s="60"/>
      <c r="G101" s="60"/>
    </row>
    <row r="103" spans="2:16">
      <c r="O103" s="13" t="str">
        <f>Show!$B$114&amp;Show!$B$114&amp;"S.24.01.01.08 Rows {"&amp;COLUMN($B$1)&amp;"}"</f>
        <v>!!S.24.01.01.08 Rows {2}</v>
      </c>
      <c r="P103" s="13" t="str">
        <f>Show!$B$114&amp;Show!$B$114&amp;"S.24.01.01.08 Columns {"&amp;COLUMN($G$1)&amp;"}"</f>
        <v>!!S.24.01.01.08 Columns {7}</v>
      </c>
    </row>
    <row r="105" spans="2:16" ht="18.75">
      <c r="B105" s="88" t="s">
        <v>4611</v>
      </c>
      <c r="C105" s="87"/>
      <c r="D105" s="87"/>
      <c r="E105" s="87"/>
      <c r="F105" s="87"/>
      <c r="G105" s="87"/>
      <c r="H105" s="87"/>
      <c r="I105" s="87"/>
      <c r="J105" s="87"/>
      <c r="K105" s="87"/>
      <c r="L105" s="87"/>
    </row>
    <row r="109" spans="2:16">
      <c r="B109" s="89" t="s">
        <v>3582</v>
      </c>
      <c r="C109" s="92" t="s">
        <v>2877</v>
      </c>
      <c r="D109" s="93"/>
      <c r="E109" s="93"/>
      <c r="F109" s="93"/>
      <c r="G109" s="94"/>
    </row>
    <row r="110" spans="2:16">
      <c r="B110" s="90"/>
      <c r="C110" s="95"/>
      <c r="D110" s="96"/>
      <c r="E110" s="96"/>
      <c r="F110" s="96"/>
      <c r="G110" s="97"/>
    </row>
    <row r="111" spans="2:16" ht="30">
      <c r="B111" s="91"/>
      <c r="C111" s="55" t="s">
        <v>4595</v>
      </c>
      <c r="D111" s="55" t="s">
        <v>3480</v>
      </c>
      <c r="E111" s="55" t="s">
        <v>4606</v>
      </c>
      <c r="F111" s="55" t="s">
        <v>4607</v>
      </c>
      <c r="G111" s="55" t="s">
        <v>3309</v>
      </c>
    </row>
    <row r="112" spans="2:16">
      <c r="B112" s="42" t="s">
        <v>3962</v>
      </c>
      <c r="C112" s="42" t="s">
        <v>3961</v>
      </c>
      <c r="D112" s="42" t="s">
        <v>3964</v>
      </c>
      <c r="E112" s="42" t="s">
        <v>3965</v>
      </c>
      <c r="F112" s="42" t="s">
        <v>3967</v>
      </c>
      <c r="G112" s="42" t="s">
        <v>4546</v>
      </c>
      <c r="O112" s="13" t="str">
        <f>Show!$B$114&amp;"S.24.01.01.09 Rows {"&amp;COLUMN($B$1)&amp;"}"&amp;"@ForceFilingCode:true"</f>
        <v>!S.24.01.01.09 Rows {2}@ForceFilingCode:true</v>
      </c>
      <c r="P112" s="13" t="str">
        <f>Show!$B$114&amp;"S.24.01.01.09 Columns {"&amp;COLUMN($B$1)&amp;"}"</f>
        <v>!S.24.01.01.09 Columns {2}</v>
      </c>
    </row>
    <row r="113" spans="2:16">
      <c r="B113" s="50"/>
      <c r="C113" s="51"/>
      <c r="D113" s="60"/>
      <c r="E113" s="60"/>
      <c r="F113" s="60"/>
      <c r="G113" s="60"/>
    </row>
    <row r="115" spans="2:16">
      <c r="O115" s="13" t="str">
        <f>Show!$B$114&amp;Show!$B$114&amp;"S.24.01.01.09 Rows {"&amp;COLUMN($B$1)&amp;"}"</f>
        <v>!!S.24.01.01.09 Rows {2}</v>
      </c>
      <c r="P115" s="13" t="str">
        <f>Show!$B$114&amp;Show!$B$114&amp;"S.24.01.01.09 Columns {"&amp;COLUMN($G$1)&amp;"}"</f>
        <v>!!S.24.01.01.09 Columns {7}</v>
      </c>
    </row>
    <row r="117" spans="2:16" ht="18.75">
      <c r="B117" s="88" t="s">
        <v>4612</v>
      </c>
      <c r="C117" s="87"/>
      <c r="D117" s="87"/>
      <c r="E117" s="87"/>
      <c r="F117" s="87"/>
      <c r="G117" s="87"/>
      <c r="H117" s="87"/>
      <c r="I117" s="87"/>
      <c r="J117" s="87"/>
      <c r="K117" s="87"/>
      <c r="L117" s="87"/>
    </row>
    <row r="121" spans="2:16">
      <c r="D121" s="92" t="s">
        <v>2877</v>
      </c>
      <c r="E121" s="93"/>
      <c r="F121" s="93"/>
      <c r="G121" s="94"/>
    </row>
    <row r="122" spans="2:16">
      <c r="D122" s="95"/>
      <c r="E122" s="96"/>
      <c r="F122" s="96"/>
      <c r="G122" s="97"/>
    </row>
    <row r="123" spans="2:16">
      <c r="D123" s="89" t="s">
        <v>3480</v>
      </c>
      <c r="E123" s="89" t="s">
        <v>4606</v>
      </c>
      <c r="F123" s="89" t="s">
        <v>4607</v>
      </c>
      <c r="G123" s="89" t="s">
        <v>3309</v>
      </c>
    </row>
    <row r="124" spans="2:16">
      <c r="D124" s="91"/>
      <c r="E124" s="91"/>
      <c r="F124" s="91"/>
      <c r="G124" s="91"/>
    </row>
    <row r="125" spans="2:16">
      <c r="D125" s="45" t="s">
        <v>4547</v>
      </c>
      <c r="E125" s="45" t="s">
        <v>4551</v>
      </c>
      <c r="F125" s="45" t="s">
        <v>3969</v>
      </c>
      <c r="G125" s="45" t="s">
        <v>3970</v>
      </c>
      <c r="O125" s="13" t="str">
        <f>Show!$B$114&amp;"S.24.01.01.10 Rows {"&amp;COLUMN($C$1)&amp;"}"&amp;"@ForceFilingCode:true"</f>
        <v>!S.24.01.01.10 Rows {3}@ForceFilingCode:true</v>
      </c>
      <c r="P125" s="13" t="str">
        <f>Show!$B$114&amp;"S.24.01.01.10 Columns {"&amp;COLUMN($D$1)&amp;"}"</f>
        <v>!S.24.01.01.10 Columns {4}</v>
      </c>
    </row>
    <row r="126" spans="2:16">
      <c r="B126" s="43" t="s">
        <v>2880</v>
      </c>
      <c r="C126" s="44" t="s">
        <v>2878</v>
      </c>
      <c r="D126" s="56"/>
      <c r="E126" s="66"/>
      <c r="F126" s="66"/>
      <c r="G126" s="57"/>
    </row>
    <row r="127" spans="2:16" ht="60">
      <c r="B127" s="47" t="s">
        <v>4613</v>
      </c>
      <c r="C127" s="41" t="s">
        <v>2889</v>
      </c>
      <c r="D127" s="60"/>
      <c r="E127" s="60"/>
      <c r="F127" s="60"/>
      <c r="G127" s="60"/>
    </row>
    <row r="128" spans="2:16" ht="45">
      <c r="B128" s="49" t="s">
        <v>4614</v>
      </c>
      <c r="C128" s="41" t="s">
        <v>3078</v>
      </c>
      <c r="D128" s="60"/>
      <c r="E128" s="60"/>
      <c r="F128" s="60"/>
      <c r="G128" s="60"/>
    </row>
    <row r="129" spans="2:16" ht="30">
      <c r="B129" s="49" t="s">
        <v>4615</v>
      </c>
      <c r="C129" s="41" t="s">
        <v>2891</v>
      </c>
      <c r="D129" s="60"/>
      <c r="E129" s="60"/>
      <c r="F129" s="60"/>
      <c r="G129" s="60"/>
    </row>
    <row r="130" spans="2:16" ht="60">
      <c r="B130" s="47" t="s">
        <v>4616</v>
      </c>
      <c r="C130" s="41" t="s">
        <v>2893</v>
      </c>
      <c r="D130" s="60"/>
      <c r="E130" s="60"/>
      <c r="F130" s="60"/>
      <c r="G130" s="60"/>
    </row>
    <row r="131" spans="2:16">
      <c r="B131" s="49" t="s">
        <v>4617</v>
      </c>
      <c r="C131" s="41" t="s">
        <v>2895</v>
      </c>
      <c r="D131" s="60"/>
      <c r="E131" s="60"/>
      <c r="F131" s="60"/>
      <c r="G131" s="60"/>
    </row>
    <row r="132" spans="2:16">
      <c r="B132" s="49" t="s">
        <v>4618</v>
      </c>
      <c r="C132" s="41" t="s">
        <v>2897</v>
      </c>
      <c r="D132" s="60"/>
      <c r="E132" s="60"/>
      <c r="F132" s="60"/>
      <c r="G132" s="60"/>
    </row>
    <row r="134" spans="2:16">
      <c r="O134" s="13" t="str">
        <f>Show!$B$114&amp;Show!$B$114&amp;"S.24.01.01.10 Rows {"&amp;COLUMN($C$1)&amp;"}"</f>
        <v>!!S.24.01.01.10 Rows {3}</v>
      </c>
      <c r="P134" s="13" t="str">
        <f>Show!$B$114&amp;Show!$B$114&amp;"S.24.01.01.10 Columns {"&amp;COLUMN($G$1)&amp;"}"</f>
        <v>!!S.24.01.01.10 Columns {7}</v>
      </c>
    </row>
    <row r="136" spans="2:16" ht="18.75">
      <c r="B136" s="88" t="s">
        <v>4619</v>
      </c>
      <c r="C136" s="87"/>
      <c r="D136" s="87"/>
      <c r="E136" s="87"/>
      <c r="F136" s="87"/>
      <c r="G136" s="87"/>
      <c r="H136" s="87"/>
      <c r="I136" s="87"/>
      <c r="J136" s="87"/>
      <c r="K136" s="87"/>
      <c r="L136" s="87"/>
    </row>
    <row r="140" spans="2:16">
      <c r="D140" s="89" t="s">
        <v>2877</v>
      </c>
    </row>
    <row r="141" spans="2:16">
      <c r="D141" s="91"/>
    </row>
    <row r="142" spans="2:16">
      <c r="D142" s="55" t="s">
        <v>3480</v>
      </c>
    </row>
    <row r="143" spans="2:16">
      <c r="D143" s="45" t="s">
        <v>3971</v>
      </c>
      <c r="O143" s="13" t="str">
        <f>Show!$B$114&amp;"S.24.01.01.11 Rows {"&amp;COLUMN($C$1)&amp;"}"&amp;"@ForceFilingCode:true"</f>
        <v>!S.24.01.01.11 Rows {3}@ForceFilingCode:true</v>
      </c>
      <c r="P143" s="13" t="str">
        <f>Show!$B$114&amp;"S.24.01.01.11 Columns {"&amp;COLUMN($D$1)&amp;"}"</f>
        <v>!S.24.01.01.11 Columns {4}</v>
      </c>
    </row>
    <row r="144" spans="2:16">
      <c r="B144" s="43" t="s">
        <v>2880</v>
      </c>
      <c r="C144" s="44" t="s">
        <v>2878</v>
      </c>
      <c r="D144" s="46"/>
    </row>
    <row r="145" spans="2:16">
      <c r="B145" s="47" t="s">
        <v>4620</v>
      </c>
      <c r="C145" s="41" t="s">
        <v>2899</v>
      </c>
      <c r="D145" s="60"/>
    </row>
    <row r="147" spans="2:16">
      <c r="O147" s="13" t="str">
        <f>Show!$B$114&amp;Show!$B$114&amp;"S.24.01.01.11 Rows {"&amp;COLUMN($C$1)&amp;"}"</f>
        <v>!!S.24.01.01.11 Rows {3}</v>
      </c>
      <c r="P147" s="13" t="str">
        <f>Show!$B$114&amp;Show!$B$114&amp;"S.24.01.01.11 Columns {"&amp;COLUMN($D$1)&amp;"}"</f>
        <v>!!S.24.01.01.11 Columns {4}</v>
      </c>
    </row>
  </sheetData>
  <sheetProtection sheet="1" objects="1" scenarios="1"/>
  <mergeCells count="34">
    <mergeCell ref="B61:B63"/>
    <mergeCell ref="C61:G62"/>
    <mergeCell ref="B2:O2"/>
    <mergeCell ref="B5:L5"/>
    <mergeCell ref="B9:B11"/>
    <mergeCell ref="C9:G10"/>
    <mergeCell ref="B17:L17"/>
    <mergeCell ref="B21:B23"/>
    <mergeCell ref="C21:G22"/>
    <mergeCell ref="B29:L29"/>
    <mergeCell ref="D33:G34"/>
    <mergeCell ref="B42:L42"/>
    <mergeCell ref="D46:G47"/>
    <mergeCell ref="B57:L57"/>
    <mergeCell ref="B69:L69"/>
    <mergeCell ref="B73:B75"/>
    <mergeCell ref="C73:G74"/>
    <mergeCell ref="B81:L81"/>
    <mergeCell ref="B85:B87"/>
    <mergeCell ref="C85:G86"/>
    <mergeCell ref="B93:L93"/>
    <mergeCell ref="B97:B99"/>
    <mergeCell ref="C97:G98"/>
    <mergeCell ref="B105:L105"/>
    <mergeCell ref="B109:B111"/>
    <mergeCell ref="C109:G110"/>
    <mergeCell ref="B136:L136"/>
    <mergeCell ref="D140:D141"/>
    <mergeCell ref="B117:L117"/>
    <mergeCell ref="D121:G122"/>
    <mergeCell ref="D123:D124"/>
    <mergeCell ref="E123:E124"/>
    <mergeCell ref="F123:F124"/>
    <mergeCell ref="G123:G124"/>
  </mergeCells>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51CF4-645C-4368-A6EF-2D707A2F646F}">
  <sheetPr codeName="Blad119"/>
  <dimension ref="B2:O116"/>
  <sheetViews>
    <sheetView showGridLines="0" workbookViewId="0"/>
  </sheetViews>
  <sheetFormatPr defaultRowHeight="15"/>
  <cols>
    <col min="2" max="2" width="79.42578125" bestFit="1" customWidth="1"/>
    <col min="4" max="6" width="15.7109375" customWidth="1"/>
  </cols>
  <sheetData>
    <row r="2" spans="2:15" ht="23.25">
      <c r="B2" s="86" t="s">
        <v>687</v>
      </c>
      <c r="C2" s="87"/>
      <c r="D2" s="87"/>
      <c r="E2" s="87"/>
      <c r="F2" s="87"/>
      <c r="G2" s="87"/>
      <c r="H2" s="87"/>
      <c r="I2" s="87"/>
      <c r="J2" s="87"/>
      <c r="K2" s="87"/>
      <c r="L2" s="87"/>
      <c r="M2" s="87"/>
      <c r="N2" s="87"/>
      <c r="O2" s="87"/>
    </row>
    <row r="5" spans="2:15" ht="18.75">
      <c r="B5" s="88" t="s">
        <v>4621</v>
      </c>
      <c r="C5" s="87"/>
      <c r="D5" s="87"/>
      <c r="E5" s="87"/>
      <c r="F5" s="87"/>
      <c r="G5" s="87"/>
      <c r="H5" s="87"/>
      <c r="I5" s="87"/>
      <c r="J5" s="87"/>
      <c r="K5" s="87"/>
      <c r="L5" s="87"/>
    </row>
    <row r="7" spans="2:15">
      <c r="B7" t="s">
        <v>3110</v>
      </c>
      <c r="K7" s="13" t="str">
        <f>Show!$B$115&amp;"S.25.01.01.01 Table label {"&amp;COLUMN($C$1)&amp;"}"</f>
        <v>!S.25.01.01.01 Table label {3}</v>
      </c>
      <c r="L7" s="13" t="str">
        <f>Show!$B$115&amp;"S.25.01.01.01 Table value {"&amp;COLUMN($D$1)&amp;"}"</f>
        <v>!S.25.01.01.01 Table value {4}</v>
      </c>
    </row>
    <row r="8" spans="2:15">
      <c r="B8" t="s">
        <v>3111</v>
      </c>
    </row>
    <row r="9" spans="2:15">
      <c r="B9" s="40" t="s">
        <v>4622</v>
      </c>
      <c r="C9" s="53" t="s">
        <v>3113</v>
      </c>
      <c r="D9" s="51"/>
    </row>
    <row r="10" spans="2:15">
      <c r="K10" s="13" t="str">
        <f>Show!$B$115&amp;Show!$B$115&amp;"S.25.01.01.01 Table label {"&amp;COLUMN($C$1)&amp;"}"</f>
        <v>!!S.25.01.01.01 Table label {3}</v>
      </c>
      <c r="L10" s="13" t="str">
        <f>Show!$B$115&amp;Show!$B$115&amp;"S.25.01.01.01 Table value {"&amp;COLUMN($D$1)&amp;"}"</f>
        <v>!!S.25.01.01.01 Table value {4}</v>
      </c>
    </row>
    <row r="12" spans="2:15">
      <c r="D12" s="92" t="s">
        <v>2877</v>
      </c>
      <c r="E12" s="93"/>
      <c r="F12" s="94"/>
    </row>
    <row r="13" spans="2:15">
      <c r="D13" s="95"/>
      <c r="E13" s="96"/>
      <c r="F13" s="97"/>
    </row>
    <row r="14" spans="2:15" ht="90">
      <c r="D14" s="55" t="s">
        <v>4623</v>
      </c>
      <c r="E14" s="55" t="s">
        <v>4624</v>
      </c>
      <c r="F14" s="55" t="s">
        <v>4625</v>
      </c>
    </row>
    <row r="15" spans="2:15">
      <c r="D15" s="45" t="s">
        <v>3225</v>
      </c>
      <c r="E15" s="45" t="s">
        <v>3223</v>
      </c>
      <c r="F15" s="45" t="s">
        <v>3229</v>
      </c>
      <c r="K15" s="13" t="str">
        <f>Show!$B$115&amp;"S.25.01.01.01 Rows {"&amp;COLUMN($C$1)&amp;"}"&amp;"@ForceFilingCode:true"</f>
        <v>!S.25.01.01.01 Rows {3}@ForceFilingCode:true</v>
      </c>
      <c r="L15" s="13" t="str">
        <f>Show!$B$115&amp;"S.25.01.01.01 Columns {"&amp;COLUMN($D$1)&amp;"}"</f>
        <v>!S.25.01.01.01 Columns {4}</v>
      </c>
    </row>
    <row r="16" spans="2:15">
      <c r="B16" s="43" t="s">
        <v>2880</v>
      </c>
      <c r="C16" s="44" t="s">
        <v>2878</v>
      </c>
      <c r="D16" s="56"/>
      <c r="E16" s="66"/>
      <c r="F16" s="57"/>
    </row>
    <row r="17" spans="2:12">
      <c r="B17" s="47" t="s">
        <v>4626</v>
      </c>
      <c r="C17" s="41" t="s">
        <v>2883</v>
      </c>
      <c r="D17" s="60"/>
      <c r="E17" s="60"/>
      <c r="F17" s="60"/>
    </row>
    <row r="18" spans="2:12">
      <c r="B18" s="47" t="s">
        <v>4627</v>
      </c>
      <c r="C18" s="41" t="s">
        <v>2885</v>
      </c>
      <c r="D18" s="60"/>
      <c r="E18" s="60"/>
      <c r="F18" s="60"/>
    </row>
    <row r="19" spans="2:12">
      <c r="B19" s="47" t="s">
        <v>4628</v>
      </c>
      <c r="C19" s="41" t="s">
        <v>2887</v>
      </c>
      <c r="D19" s="60"/>
      <c r="E19" s="60"/>
      <c r="F19" s="60"/>
    </row>
    <row r="20" spans="2:12">
      <c r="B20" s="47" t="s">
        <v>4629</v>
      </c>
      <c r="C20" s="41" t="s">
        <v>2889</v>
      </c>
      <c r="D20" s="60"/>
      <c r="E20" s="60"/>
      <c r="F20" s="60"/>
    </row>
    <row r="21" spans="2:12">
      <c r="B21" s="47" t="s">
        <v>4630</v>
      </c>
      <c r="C21" s="41" t="s">
        <v>3078</v>
      </c>
      <c r="D21" s="60"/>
      <c r="E21" s="60"/>
      <c r="F21" s="63"/>
    </row>
    <row r="22" spans="2:12">
      <c r="B22" s="47" t="s">
        <v>4631</v>
      </c>
      <c r="C22" s="41" t="s">
        <v>2891</v>
      </c>
      <c r="D22" s="60"/>
      <c r="E22" s="64"/>
      <c r="F22" s="48"/>
    </row>
    <row r="23" spans="2:12">
      <c r="B23" s="47" t="s">
        <v>4632</v>
      </c>
      <c r="C23" s="41" t="s">
        <v>2893</v>
      </c>
      <c r="D23" s="60"/>
      <c r="E23" s="64"/>
      <c r="F23" s="48"/>
    </row>
    <row r="24" spans="2:12">
      <c r="B24" s="47" t="s">
        <v>4633</v>
      </c>
      <c r="C24" s="41" t="s">
        <v>2899</v>
      </c>
      <c r="D24" s="60"/>
      <c r="E24" s="64"/>
      <c r="F24" s="46"/>
    </row>
    <row r="26" spans="2:12">
      <c r="K26" s="13" t="str">
        <f>Show!$B$115&amp;Show!$B$115&amp;"S.25.01.01.01 Rows {"&amp;COLUMN($C$1)&amp;"}"</f>
        <v>!!S.25.01.01.01 Rows {3}</v>
      </c>
      <c r="L26" s="13" t="str">
        <f>Show!$B$115&amp;Show!$B$115&amp;"S.25.01.01.01 Columns {"&amp;COLUMN($F$1)&amp;"}"</f>
        <v>!!S.25.01.01.01 Columns {6}</v>
      </c>
    </row>
    <row r="28" spans="2:12" ht="18.75">
      <c r="B28" s="88" t="s">
        <v>4634</v>
      </c>
      <c r="C28" s="87"/>
      <c r="D28" s="87"/>
      <c r="E28" s="87"/>
      <c r="F28" s="87"/>
      <c r="G28" s="87"/>
      <c r="H28" s="87"/>
      <c r="I28" s="87"/>
      <c r="J28" s="87"/>
      <c r="K28" s="87"/>
      <c r="L28" s="87"/>
    </row>
    <row r="30" spans="2:12">
      <c r="B30" t="s">
        <v>3110</v>
      </c>
      <c r="K30" s="13" t="str">
        <f>Show!$B$115&amp;"S.25.01.01.02 Table label {"&amp;COLUMN($C$1)&amp;"}"</f>
        <v>!S.25.01.01.02 Table label {3}</v>
      </c>
      <c r="L30" s="13" t="str">
        <f>Show!$B$115&amp;"S.25.01.01.02 Table value {"&amp;COLUMN($D$1)&amp;"}"</f>
        <v>!S.25.01.01.02 Table value {4}</v>
      </c>
    </row>
    <row r="31" spans="2:12">
      <c r="B31" t="s">
        <v>3111</v>
      </c>
    </row>
    <row r="32" spans="2:12">
      <c r="B32" s="40" t="s">
        <v>4622</v>
      </c>
      <c r="C32" s="53" t="s">
        <v>3113</v>
      </c>
      <c r="D32" s="51"/>
    </row>
    <row r="33" spans="2:12">
      <c r="K33" s="13" t="str">
        <f>Show!$B$115&amp;Show!$B$115&amp;"S.25.01.01.02 Table label {"&amp;COLUMN($C$1)&amp;"}"</f>
        <v>!!S.25.01.01.02 Table label {3}</v>
      </c>
      <c r="L33" s="13" t="str">
        <f>Show!$B$115&amp;Show!$B$115&amp;"S.25.01.01.02 Table value {"&amp;COLUMN($D$1)&amp;"}"</f>
        <v>!!S.25.01.01.02 Table value {4}</v>
      </c>
    </row>
    <row r="35" spans="2:12">
      <c r="D35" s="89" t="s">
        <v>2877</v>
      </c>
    </row>
    <row r="36" spans="2:12">
      <c r="D36" s="91"/>
    </row>
    <row r="37" spans="2:12">
      <c r="D37" s="89" t="s">
        <v>4635</v>
      </c>
    </row>
    <row r="38" spans="2:12">
      <c r="D38" s="91"/>
    </row>
    <row r="39" spans="2:12">
      <c r="D39" s="45" t="s">
        <v>3239</v>
      </c>
      <c r="K39" s="13" t="str">
        <f>Show!$B$115&amp;"S.25.01.01.02 Rows {"&amp;COLUMN($C$1)&amp;"}"&amp;"@ForceFilingCode:true"</f>
        <v>!S.25.01.01.02 Rows {3}@ForceFilingCode:true</v>
      </c>
      <c r="L39" s="13" t="str">
        <f>Show!$B$115&amp;"S.25.01.01.02 Columns {"&amp;COLUMN($D$1)&amp;"}"</f>
        <v>!S.25.01.01.02 Columns {4}</v>
      </c>
    </row>
    <row r="40" spans="2:12">
      <c r="B40" s="43" t="s">
        <v>2880</v>
      </c>
      <c r="C40" s="44" t="s">
        <v>2878</v>
      </c>
      <c r="D40" s="46"/>
    </row>
    <row r="41" spans="2:12">
      <c r="B41" s="47" t="s">
        <v>4636</v>
      </c>
      <c r="C41" s="41" t="s">
        <v>2903</v>
      </c>
      <c r="D41" s="60"/>
    </row>
    <row r="42" spans="2:12">
      <c r="B42" s="47" t="s">
        <v>4637</v>
      </c>
      <c r="C42" s="41" t="s">
        <v>2905</v>
      </c>
      <c r="D42" s="60"/>
    </row>
    <row r="43" spans="2:12">
      <c r="B43" s="47" t="s">
        <v>4638</v>
      </c>
      <c r="C43" s="41" t="s">
        <v>2907</v>
      </c>
      <c r="D43" s="60"/>
    </row>
    <row r="44" spans="2:12">
      <c r="B44" s="47" t="s">
        <v>4639</v>
      </c>
      <c r="C44" s="41" t="s">
        <v>2909</v>
      </c>
      <c r="D44" s="60"/>
    </row>
    <row r="45" spans="2:12" ht="30">
      <c r="B45" s="47" t="s">
        <v>4640</v>
      </c>
      <c r="C45" s="41" t="s">
        <v>2911</v>
      </c>
      <c r="D45" s="60"/>
    </row>
    <row r="46" spans="2:12">
      <c r="B46" s="47" t="s">
        <v>4641</v>
      </c>
      <c r="C46" s="41" t="s">
        <v>2919</v>
      </c>
      <c r="D46" s="60"/>
    </row>
    <row r="47" spans="2:12">
      <c r="B47" s="47" t="s">
        <v>4642</v>
      </c>
      <c r="C47" s="41" t="s">
        <v>2921</v>
      </c>
      <c r="D47" s="60"/>
    </row>
    <row r="48" spans="2:12">
      <c r="B48" s="47" t="s">
        <v>4643</v>
      </c>
      <c r="C48" s="41" t="s">
        <v>2923</v>
      </c>
      <c r="D48" s="63"/>
    </row>
    <row r="49" spans="2:12">
      <c r="B49" s="47" t="s">
        <v>4644</v>
      </c>
      <c r="C49" s="44" t="s">
        <v>2878</v>
      </c>
      <c r="D49" s="46"/>
    </row>
    <row r="50" spans="2:12">
      <c r="B50" s="49" t="s">
        <v>4645</v>
      </c>
      <c r="C50" s="41" t="s">
        <v>2959</v>
      </c>
      <c r="D50" s="60"/>
    </row>
    <row r="51" spans="2:12">
      <c r="B51" s="49" t="s">
        <v>4646</v>
      </c>
      <c r="C51" s="41" t="s">
        <v>2961</v>
      </c>
      <c r="D51" s="60"/>
    </row>
    <row r="52" spans="2:12">
      <c r="B52" s="49" t="s">
        <v>4647</v>
      </c>
      <c r="C52" s="41" t="s">
        <v>2963</v>
      </c>
      <c r="D52" s="60"/>
    </row>
    <row r="53" spans="2:12" ht="30">
      <c r="B53" s="49" t="s">
        <v>4648</v>
      </c>
      <c r="C53" s="41" t="s">
        <v>2965</v>
      </c>
      <c r="D53" s="60"/>
    </row>
    <row r="54" spans="2:12">
      <c r="B54" s="49" t="s">
        <v>4649</v>
      </c>
      <c r="C54" s="41" t="s">
        <v>2967</v>
      </c>
      <c r="D54" s="60"/>
    </row>
    <row r="55" spans="2:12">
      <c r="B55" s="49" t="s">
        <v>4650</v>
      </c>
      <c r="C55" s="41" t="s">
        <v>2969</v>
      </c>
      <c r="D55" s="51"/>
    </row>
    <row r="56" spans="2:12">
      <c r="B56" s="49" t="s">
        <v>4651</v>
      </c>
      <c r="C56" s="41" t="s">
        <v>2971</v>
      </c>
      <c r="D56" s="60"/>
    </row>
    <row r="58" spans="2:12">
      <c r="K58" s="13" t="str">
        <f>Show!$B$115&amp;Show!$B$115&amp;"S.25.01.01.02 Rows {"&amp;COLUMN($C$1)&amp;"}"</f>
        <v>!!S.25.01.01.02 Rows {3}</v>
      </c>
      <c r="L58" s="13" t="str">
        <f>Show!$B$115&amp;Show!$B$115&amp;"S.25.01.01.02 Columns {"&amp;COLUMN($D$1)&amp;"}"</f>
        <v>!!S.25.01.01.02 Columns {4}</v>
      </c>
    </row>
    <row r="60" spans="2:12" ht="18.75">
      <c r="B60" s="88" t="s">
        <v>4652</v>
      </c>
      <c r="C60" s="87"/>
      <c r="D60" s="87"/>
      <c r="E60" s="87"/>
      <c r="F60" s="87"/>
      <c r="G60" s="87"/>
      <c r="H60" s="87"/>
      <c r="I60" s="87"/>
      <c r="J60" s="87"/>
      <c r="K60" s="87"/>
      <c r="L60" s="87"/>
    </row>
    <row r="62" spans="2:12">
      <c r="B62" t="s">
        <v>3110</v>
      </c>
      <c r="K62" s="13" t="str">
        <f>Show!$B$115&amp;"S.25.01.01.03 Table label {"&amp;COLUMN($C$1)&amp;"}"</f>
        <v>!S.25.01.01.03 Table label {3}</v>
      </c>
      <c r="L62" s="13" t="str">
        <f>Show!$B$115&amp;"S.25.01.01.03 Table value {"&amp;COLUMN($D$1)&amp;"}"</f>
        <v>!S.25.01.01.03 Table value {4}</v>
      </c>
    </row>
    <row r="63" spans="2:12">
      <c r="B63" t="s">
        <v>3111</v>
      </c>
    </row>
    <row r="64" spans="2:12">
      <c r="B64" s="40" t="s">
        <v>4622</v>
      </c>
      <c r="C64" s="53" t="s">
        <v>3113</v>
      </c>
      <c r="D64" s="51"/>
    </row>
    <row r="65" spans="2:12">
      <c r="K65" s="13" t="str">
        <f>Show!$B$115&amp;Show!$B$115&amp;"S.25.01.01.03 Table label {"&amp;COLUMN($C$1)&amp;"}"</f>
        <v>!!S.25.01.01.03 Table label {3}</v>
      </c>
      <c r="L65" s="13" t="str">
        <f>Show!$B$115&amp;Show!$B$115&amp;"S.25.01.01.03 Table value {"&amp;COLUMN($D$1)&amp;"}"</f>
        <v>!!S.25.01.01.03 Table value {4}</v>
      </c>
    </row>
    <row r="67" spans="2:12">
      <c r="D67" s="89" t="s">
        <v>2877</v>
      </c>
    </row>
    <row r="68" spans="2:12">
      <c r="D68" s="91"/>
    </row>
    <row r="69" spans="2:12">
      <c r="D69" s="55" t="s">
        <v>4653</v>
      </c>
    </row>
    <row r="70" spans="2:12">
      <c r="D70" s="45" t="s">
        <v>4654</v>
      </c>
      <c r="K70" s="13" t="str">
        <f>Show!$B$115&amp;"S.25.01.01.03 Rows {"&amp;COLUMN($C$1)&amp;"}"&amp;"@ForceFilingCode:true"</f>
        <v>!S.25.01.01.03 Rows {3}@ForceFilingCode:true</v>
      </c>
      <c r="L70" s="13" t="str">
        <f>Show!$B$115&amp;"S.25.01.01.03 Columns {"&amp;COLUMN($D$1)&amp;"}"</f>
        <v>!S.25.01.01.03 Columns {4}</v>
      </c>
    </row>
    <row r="71" spans="2:12">
      <c r="B71" s="43" t="s">
        <v>2880</v>
      </c>
      <c r="C71" s="44" t="s">
        <v>2878</v>
      </c>
      <c r="D71" s="46"/>
    </row>
    <row r="72" spans="2:12">
      <c r="B72" s="47" t="s">
        <v>2562</v>
      </c>
      <c r="C72" s="41" t="s">
        <v>2995</v>
      </c>
      <c r="D72" s="51"/>
    </row>
    <row r="74" spans="2:12">
      <c r="K74" s="13" t="str">
        <f>Show!$B$115&amp;Show!$B$115&amp;"S.25.01.01.03 Rows {"&amp;COLUMN($C$1)&amp;"}"</f>
        <v>!!S.25.01.01.03 Rows {3}</v>
      </c>
      <c r="L74" s="13" t="str">
        <f>Show!$B$115&amp;Show!$B$115&amp;"S.25.01.01.03 Columns {"&amp;COLUMN($D$1)&amp;"}"</f>
        <v>!!S.25.01.01.03 Columns {4}</v>
      </c>
    </row>
    <row r="76" spans="2:12" ht="18.75">
      <c r="B76" s="88" t="s">
        <v>4655</v>
      </c>
      <c r="C76" s="87"/>
      <c r="D76" s="87"/>
      <c r="E76" s="87"/>
      <c r="F76" s="87"/>
      <c r="G76" s="87"/>
      <c r="H76" s="87"/>
      <c r="I76" s="87"/>
      <c r="J76" s="87"/>
      <c r="K76" s="87"/>
      <c r="L76" s="87"/>
    </row>
    <row r="78" spans="2:12">
      <c r="B78" t="s">
        <v>3110</v>
      </c>
      <c r="K78" s="13" t="str">
        <f>Show!$B$115&amp;"S.25.01.01.04 Table label {"&amp;COLUMN($C$1)&amp;"}"</f>
        <v>!S.25.01.01.04 Table label {3}</v>
      </c>
      <c r="L78" s="13" t="str">
        <f>Show!$B$115&amp;"S.25.01.01.04 Table value {"&amp;COLUMN($D$1)&amp;"}"</f>
        <v>!S.25.01.01.04 Table value {4}</v>
      </c>
    </row>
    <row r="79" spans="2:12">
      <c r="B79" t="s">
        <v>3111</v>
      </c>
    </row>
    <row r="80" spans="2:12">
      <c r="B80" s="40" t="s">
        <v>4622</v>
      </c>
      <c r="C80" s="53" t="s">
        <v>3113</v>
      </c>
      <c r="D80" s="51"/>
    </row>
    <row r="81" spans="2:12">
      <c r="K81" s="13" t="str">
        <f>Show!$B$115&amp;Show!$B$115&amp;"S.25.01.01.04 Table label {"&amp;COLUMN($C$1)&amp;"}"</f>
        <v>!!S.25.01.01.04 Table label {3}</v>
      </c>
      <c r="L81" s="13" t="str">
        <f>Show!$B$115&amp;Show!$B$115&amp;"S.25.01.01.04 Table value {"&amp;COLUMN($D$1)&amp;"}"</f>
        <v>!!S.25.01.01.04 Table value {4}</v>
      </c>
    </row>
    <row r="83" spans="2:12">
      <c r="D83" s="92" t="s">
        <v>2877</v>
      </c>
      <c r="E83" s="94"/>
    </row>
    <row r="84" spans="2:12">
      <c r="D84" s="95"/>
      <c r="E84" s="97"/>
    </row>
    <row r="85" spans="2:12">
      <c r="D85" s="89" t="s">
        <v>4656</v>
      </c>
      <c r="E85" s="89" t="s">
        <v>4657</v>
      </c>
    </row>
    <row r="86" spans="2:12">
      <c r="D86" s="91"/>
      <c r="E86" s="91"/>
    </row>
    <row r="87" spans="2:12">
      <c r="D87" s="45" t="s">
        <v>3241</v>
      </c>
      <c r="E87" s="45" t="s">
        <v>3243</v>
      </c>
      <c r="K87" s="13" t="str">
        <f>Show!$B$115&amp;"S.25.01.01.04 Rows {"&amp;COLUMN($C$1)&amp;"}"&amp;"@ForceFilingCode:true"</f>
        <v>!S.25.01.01.04 Rows {3}@ForceFilingCode:true</v>
      </c>
      <c r="L87" s="13" t="str">
        <f>Show!$B$115&amp;"S.25.01.01.04 Columns {"&amp;COLUMN($D$1)&amp;"}"</f>
        <v>!S.25.01.01.04 Columns {4}</v>
      </c>
    </row>
    <row r="88" spans="2:12">
      <c r="B88" s="43" t="s">
        <v>2880</v>
      </c>
      <c r="C88" s="44" t="s">
        <v>2878</v>
      </c>
      <c r="D88" s="56"/>
      <c r="E88" s="57"/>
    </row>
    <row r="89" spans="2:12">
      <c r="B89" s="47" t="s">
        <v>4658</v>
      </c>
      <c r="C89" s="41" t="s">
        <v>2997</v>
      </c>
      <c r="D89" s="60"/>
      <c r="E89" s="60"/>
    </row>
    <row r="90" spans="2:12">
      <c r="B90" s="49" t="s">
        <v>4659</v>
      </c>
      <c r="C90" s="41" t="s">
        <v>2999</v>
      </c>
      <c r="D90" s="60"/>
      <c r="E90" s="60"/>
    </row>
    <row r="91" spans="2:12">
      <c r="B91" s="49" t="s">
        <v>4660</v>
      </c>
      <c r="C91" s="41" t="s">
        <v>3001</v>
      </c>
      <c r="D91" s="60"/>
      <c r="E91" s="60"/>
    </row>
    <row r="92" spans="2:12">
      <c r="B92" s="47" t="s">
        <v>4661</v>
      </c>
      <c r="C92" s="41" t="s">
        <v>3003</v>
      </c>
      <c r="D92" s="60"/>
      <c r="E92" s="60"/>
    </row>
    <row r="94" spans="2:12">
      <c r="K94" s="13" t="str">
        <f>Show!$B$115&amp;Show!$B$115&amp;"S.25.01.01.04 Rows {"&amp;COLUMN($C$1)&amp;"}"</f>
        <v>!!S.25.01.01.04 Rows {3}</v>
      </c>
      <c r="L94" s="13" t="str">
        <f>Show!$B$115&amp;Show!$B$115&amp;"S.25.01.01.04 Columns {"&amp;COLUMN($E$1)&amp;"}"</f>
        <v>!!S.25.01.01.04 Columns {5}</v>
      </c>
    </row>
    <row r="96" spans="2:12" ht="18.75">
      <c r="B96" s="88" t="s">
        <v>4662</v>
      </c>
      <c r="C96" s="87"/>
      <c r="D96" s="87"/>
      <c r="E96" s="87"/>
      <c r="F96" s="87"/>
      <c r="G96" s="87"/>
      <c r="H96" s="87"/>
      <c r="I96" s="87"/>
      <c r="J96" s="87"/>
      <c r="K96" s="87"/>
      <c r="L96" s="87"/>
    </row>
    <row r="98" spans="2:12">
      <c r="B98" t="s">
        <v>3110</v>
      </c>
      <c r="K98" s="13" t="str">
        <f>Show!$B$115&amp;"S.25.01.01.05 Table label {"&amp;COLUMN($C$1)&amp;"}"</f>
        <v>!S.25.01.01.05 Table label {3}</v>
      </c>
      <c r="L98" s="13" t="str">
        <f>Show!$B$115&amp;"S.25.01.01.05 Table value {"&amp;COLUMN($D$1)&amp;"}"</f>
        <v>!S.25.01.01.05 Table value {4}</v>
      </c>
    </row>
    <row r="99" spans="2:12">
      <c r="B99" t="s">
        <v>3111</v>
      </c>
    </row>
    <row r="100" spans="2:12">
      <c r="B100" s="40" t="s">
        <v>4622</v>
      </c>
      <c r="C100" s="53" t="s">
        <v>3113</v>
      </c>
      <c r="D100" s="51"/>
    </row>
    <row r="101" spans="2:12">
      <c r="K101" s="13" t="str">
        <f>Show!$B$115&amp;Show!$B$115&amp;"S.25.01.01.05 Table label {"&amp;COLUMN($C$1)&amp;"}"</f>
        <v>!!S.25.01.01.05 Table label {3}</v>
      </c>
      <c r="L101" s="13" t="str">
        <f>Show!$B$115&amp;Show!$B$115&amp;"S.25.01.01.05 Table value {"&amp;COLUMN($D$1)&amp;"}"</f>
        <v>!!S.25.01.01.05 Table value {4}</v>
      </c>
    </row>
    <row r="103" spans="2:12">
      <c r="D103" s="89" t="s">
        <v>2877</v>
      </c>
    </row>
    <row r="104" spans="2:12">
      <c r="D104" s="91"/>
    </row>
    <row r="105" spans="2:12">
      <c r="D105" s="89" t="s">
        <v>4663</v>
      </c>
    </row>
    <row r="106" spans="2:12">
      <c r="D106" s="91"/>
    </row>
    <row r="107" spans="2:12">
      <c r="D107" s="45" t="s">
        <v>3375</v>
      </c>
      <c r="K107" s="13" t="str">
        <f>Show!$B$115&amp;"S.25.01.01.05 Rows {"&amp;COLUMN($C$1)&amp;"}"&amp;"@ForceFilingCode:true"</f>
        <v>!S.25.01.01.05 Rows {3}@ForceFilingCode:true</v>
      </c>
      <c r="L107" s="13" t="str">
        <f>Show!$B$115&amp;"S.25.01.01.05 Columns {"&amp;COLUMN($D$1)&amp;"}"</f>
        <v>!S.25.01.01.05 Columns {4}</v>
      </c>
    </row>
    <row r="108" spans="2:12">
      <c r="B108" s="43" t="s">
        <v>2880</v>
      </c>
      <c r="C108" s="44" t="s">
        <v>2878</v>
      </c>
      <c r="D108" s="46"/>
    </row>
    <row r="109" spans="2:12">
      <c r="B109" s="47" t="s">
        <v>4663</v>
      </c>
      <c r="C109" s="41" t="s">
        <v>3005</v>
      </c>
      <c r="D109" s="60"/>
    </row>
    <row r="110" spans="2:12">
      <c r="B110" s="49" t="s">
        <v>4664</v>
      </c>
      <c r="C110" s="41" t="s">
        <v>3007</v>
      </c>
      <c r="D110" s="60"/>
    </row>
    <row r="111" spans="2:12">
      <c r="B111" s="49" t="s">
        <v>4665</v>
      </c>
      <c r="C111" s="41" t="s">
        <v>3009</v>
      </c>
      <c r="D111" s="60"/>
    </row>
    <row r="112" spans="2:12">
      <c r="B112" s="49" t="s">
        <v>4666</v>
      </c>
      <c r="C112" s="41" t="s">
        <v>3011</v>
      </c>
      <c r="D112" s="60"/>
    </row>
    <row r="113" spans="2:12">
      <c r="B113" s="49" t="s">
        <v>4667</v>
      </c>
      <c r="C113" s="41" t="s">
        <v>3013</v>
      </c>
      <c r="D113" s="60"/>
    </row>
    <row r="114" spans="2:12">
      <c r="B114" s="49" t="s">
        <v>4668</v>
      </c>
      <c r="C114" s="41" t="s">
        <v>3015</v>
      </c>
      <c r="D114" s="60"/>
    </row>
    <row r="116" spans="2:12">
      <c r="K116" s="13" t="str">
        <f>Show!$B$115&amp;Show!$B$115&amp;"S.25.01.01.05 Rows {"&amp;COLUMN($C$1)&amp;"}"</f>
        <v>!!S.25.01.01.05 Rows {3}</v>
      </c>
      <c r="L116" s="13" t="str">
        <f>Show!$B$115&amp;Show!$B$115&amp;"S.25.01.01.05 Columns {"&amp;COLUMN($D$1)&amp;"}"</f>
        <v>!!S.25.01.01.05 Columns {4}</v>
      </c>
    </row>
  </sheetData>
  <sheetProtection sheet="1" objects="1" scenarios="1"/>
  <mergeCells count="15">
    <mergeCell ref="D37:D38"/>
    <mergeCell ref="B2:O2"/>
    <mergeCell ref="B5:L5"/>
    <mergeCell ref="D12:F13"/>
    <mergeCell ref="B28:L28"/>
    <mergeCell ref="D35:D36"/>
    <mergeCell ref="B96:L96"/>
    <mergeCell ref="D103:D104"/>
    <mergeCell ref="D105:D106"/>
    <mergeCell ref="B60:L60"/>
    <mergeCell ref="D67:D68"/>
    <mergeCell ref="B76:L76"/>
    <mergeCell ref="D83:E84"/>
    <mergeCell ref="D85:D86"/>
    <mergeCell ref="E85:E86"/>
  </mergeCells>
  <dataValidations count="3">
    <dataValidation type="list" errorStyle="warning" allowBlank="1" showInputMessage="1" showErrorMessage="1" sqref="D9 D32 D64 D80 D100" xr:uid="{38D3D63F-9EAE-4474-9A0E-B83FBE617F86}">
      <formula1>hier_AO_1</formula1>
    </dataValidation>
    <dataValidation type="list" errorStyle="warning" allowBlank="1" showInputMessage="1" showErrorMessage="1" sqref="D55" xr:uid="{10D9DF30-B5BB-4030-A28C-0797A735C147}">
      <formula1>hier_AP_18</formula1>
    </dataValidation>
    <dataValidation type="list" errorStyle="warning" allowBlank="1" showInputMessage="1" showErrorMessage="1" sqref="D72" xr:uid="{BC86C32B-BC90-4C3E-9604-C079D574155A}">
      <formula1>hier_AP_24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430C5-431F-4800-8342-BF64DAB8E83D}">
  <sheetPr codeName="Blad12"/>
  <dimension ref="B2:O20"/>
  <sheetViews>
    <sheetView showGridLines="0" workbookViewId="0"/>
  </sheetViews>
  <sheetFormatPr defaultRowHeight="15"/>
  <cols>
    <col min="2" max="2" width="44.28515625" bestFit="1" customWidth="1"/>
    <col min="4" max="4" width="40.7109375" customWidth="1"/>
  </cols>
  <sheetData>
    <row r="2" spans="2:15" ht="23.25">
      <c r="B2" s="86" t="s">
        <v>512</v>
      </c>
      <c r="C2" s="87"/>
      <c r="D2" s="87"/>
      <c r="E2" s="87"/>
      <c r="F2" s="87"/>
      <c r="G2" s="87"/>
      <c r="H2" s="87"/>
      <c r="I2" s="87"/>
      <c r="J2" s="87"/>
      <c r="K2" s="87"/>
      <c r="L2" s="87"/>
      <c r="M2" s="87"/>
      <c r="N2" s="87"/>
      <c r="O2" s="87"/>
    </row>
    <row r="5" spans="2:15" ht="18.75">
      <c r="B5" s="88" t="s">
        <v>3088</v>
      </c>
      <c r="C5" s="87"/>
      <c r="D5" s="87"/>
      <c r="E5" s="87"/>
      <c r="F5" s="87"/>
      <c r="G5" s="87"/>
      <c r="H5" s="87"/>
      <c r="I5" s="87"/>
      <c r="J5" s="87"/>
      <c r="K5" s="87"/>
      <c r="L5" s="87"/>
    </row>
    <row r="9" spans="2:15">
      <c r="D9" s="89" t="s">
        <v>2877</v>
      </c>
    </row>
    <row r="10" spans="2:15">
      <c r="D10" s="90"/>
    </row>
    <row r="11" spans="2:15">
      <c r="D11" s="90"/>
    </row>
    <row r="12" spans="2:15">
      <c r="D12" s="91"/>
    </row>
    <row r="13" spans="2:15">
      <c r="D13" s="45" t="s">
        <v>2879</v>
      </c>
      <c r="I13" s="13" t="str">
        <f>IF(COUNTIF(D:D,"Reported")&gt;0,Show!$B$8,"!")&amp;"S.01.01.10.01 Rows {"&amp;COLUMN($C$1)&amp;"}"&amp;"@ForceFilingCode:true"</f>
        <v>!S.01.01.10.01 Rows {3}@ForceFilingCode:true</v>
      </c>
      <c r="J13" s="13" t="str">
        <f>IF(COUNTIF(D:D,"Reported")&gt;0,Show!$B$8,"!")&amp;"S.01.01.10.01 Columns {"&amp;COLUMN($D$1)&amp;"}"</f>
        <v>!S.01.01.10.01 Columns {4}</v>
      </c>
    </row>
    <row r="14" spans="2:15">
      <c r="B14" s="43" t="s">
        <v>2880</v>
      </c>
      <c r="C14" s="44" t="s">
        <v>2878</v>
      </c>
      <c r="D14" s="48"/>
    </row>
    <row r="15" spans="2:15">
      <c r="B15" s="47" t="s">
        <v>2881</v>
      </c>
      <c r="C15" s="44" t="s">
        <v>2878</v>
      </c>
      <c r="D15" s="46"/>
    </row>
    <row r="16" spans="2:15">
      <c r="B16" s="52" t="s">
        <v>2882</v>
      </c>
      <c r="C16" s="41" t="s">
        <v>2883</v>
      </c>
      <c r="D16" s="51"/>
    </row>
    <row r="17" spans="2:10">
      <c r="B17" s="52" t="s">
        <v>3089</v>
      </c>
      <c r="C17" s="41" t="s">
        <v>2929</v>
      </c>
      <c r="D17" s="51"/>
    </row>
    <row r="18" spans="2:10">
      <c r="B18" s="52" t="s">
        <v>3090</v>
      </c>
      <c r="C18" s="41" t="s">
        <v>3091</v>
      </c>
      <c r="D18" s="51"/>
    </row>
    <row r="19" spans="2:10">
      <c r="B19" s="52" t="s">
        <v>3092</v>
      </c>
      <c r="C19" s="41" t="s">
        <v>3093</v>
      </c>
      <c r="D19" s="51"/>
    </row>
    <row r="20" spans="2:10">
      <c r="I20" s="13" t="str">
        <f>IF(COUNTIF(D:D,"Reported")&gt;0,Show!$B$8&amp;Show!$B$8,"!!")&amp;"S.01.01.10.01 Rows {"&amp;COLUMN($C$1)&amp;"}"</f>
        <v>!!S.01.01.10.01 Rows {3}</v>
      </c>
      <c r="J20" s="13" t="str">
        <f>IF(COUNTIF(D:D,"Reported")&gt;0,Show!$B$8&amp;Show!$B$8,"!!")&amp;"S.01.01.10.01 Columns {"&amp;COLUMN($D$1)&amp;"}"</f>
        <v>!!S.01.01.10.01 Columns {4}</v>
      </c>
    </row>
  </sheetData>
  <sheetProtection sheet="1" objects="1" scenarios="1"/>
  <mergeCells count="3">
    <mergeCell ref="B2:O2"/>
    <mergeCell ref="B5:L5"/>
    <mergeCell ref="D9:D12"/>
  </mergeCells>
  <dataValidations count="3">
    <dataValidation type="list" errorStyle="warning" allowBlank="1" showInputMessage="1" showErrorMessage="1" sqref="D16" xr:uid="{EE3ACBB6-2CDE-4673-82E8-2C6B15521735}">
      <formula1>hier_CN_2</formula1>
    </dataValidation>
    <dataValidation type="list" errorStyle="warning" allowBlank="1" showInputMessage="1" showErrorMessage="1" sqref="D17" xr:uid="{D2DC9158-5FE9-4B81-B56A-6F202BD64B3B}">
      <formula1>hier_CN_30</formula1>
    </dataValidation>
    <dataValidation type="list" errorStyle="warning" allowBlank="1" showInputMessage="1" showErrorMessage="1" sqref="D18 D19" xr:uid="{1377086C-C63F-4A21-9EBB-6226F05327B0}">
      <formula1>hier_CN_15</formula1>
    </dataValidation>
  </dataValidations>
  <hyperlinks>
    <hyperlink ref="B16" location="'S.01.02.01'!A1" display="S.01.02.01 - Basic Information - General" xr:uid="{56ADB474-04FA-448A-AAF5-2F87D3620B50}"/>
    <hyperlink ref="B17" location="'S.14.01.10'!A1" display="S.14.01.10 - Life obligations analysis" xr:uid="{54BC3CD0-E9B1-4227-A751-CBB7B68F3430}"/>
    <hyperlink ref="B18" location="'S.38.01.10'!A1" display="S.38.01.10 - Duration of technical provisions" xr:uid="{8815B8AD-FA95-416F-AD48-96F6D4226A67}"/>
    <hyperlink ref="B19" location="'S.40.01.10'!A1" display="S.40.01.10 - Profit or Loss sharing" xr:uid="{2F38D15F-F929-4B74-BD26-E341E04E5F94}"/>
  </hyperlinks>
  <pageMargins left="0.7" right="0.7" top="0.75" bottom="0.75" header="0.3" footer="0.3"/>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90F4F-E138-4F3A-8C2A-6F52911B60ED}">
  <sheetPr codeName="Blad120"/>
  <dimension ref="B2:O70"/>
  <sheetViews>
    <sheetView showGridLines="0" workbookViewId="0"/>
  </sheetViews>
  <sheetFormatPr defaultRowHeight="15"/>
  <cols>
    <col min="2" max="2" width="84.42578125" bestFit="1" customWidth="1"/>
    <col min="4" max="6" width="15.7109375" customWidth="1"/>
  </cols>
  <sheetData>
    <row r="2" spans="2:15" ht="23.25">
      <c r="B2" s="86" t="s">
        <v>689</v>
      </c>
      <c r="C2" s="87"/>
      <c r="D2" s="87"/>
      <c r="E2" s="87"/>
      <c r="F2" s="87"/>
      <c r="G2" s="87"/>
      <c r="H2" s="87"/>
      <c r="I2" s="87"/>
      <c r="J2" s="87"/>
      <c r="K2" s="87"/>
      <c r="L2" s="87"/>
      <c r="M2" s="87"/>
      <c r="N2" s="87"/>
      <c r="O2" s="87"/>
    </row>
    <row r="5" spans="2:15" ht="18.75">
      <c r="B5" s="88" t="s">
        <v>4669</v>
      </c>
      <c r="C5" s="87"/>
      <c r="D5" s="87"/>
      <c r="E5" s="87"/>
      <c r="F5" s="87"/>
      <c r="G5" s="87"/>
      <c r="H5" s="87"/>
      <c r="I5" s="87"/>
      <c r="J5" s="87"/>
      <c r="K5" s="87"/>
      <c r="L5" s="87"/>
    </row>
    <row r="7" spans="2:15">
      <c r="B7" t="s">
        <v>3110</v>
      </c>
      <c r="K7" s="13" t="str">
        <f>Show!$B$116&amp;"S.25.01.04.01 Table label {"&amp;COLUMN($C$1)&amp;"}"</f>
        <v>!S.25.01.04.01 Table label {3}</v>
      </c>
      <c r="L7" s="13" t="str">
        <f>Show!$B$116&amp;"S.25.01.04.01 Table value {"&amp;COLUMN($D$1)&amp;"}"</f>
        <v>!S.25.01.04.01 Table value {4}</v>
      </c>
    </row>
    <row r="8" spans="2:15">
      <c r="B8" t="s">
        <v>3111</v>
      </c>
    </row>
    <row r="9" spans="2:15">
      <c r="B9" s="40" t="s">
        <v>4622</v>
      </c>
      <c r="C9" s="53" t="s">
        <v>3113</v>
      </c>
      <c r="D9" s="51"/>
    </row>
    <row r="10" spans="2:15">
      <c r="K10" s="13" t="str">
        <f>Show!$B$116&amp;Show!$B$116&amp;"S.25.01.04.01 Table label {"&amp;COLUMN($C$1)&amp;"}"</f>
        <v>!!S.25.01.04.01 Table label {3}</v>
      </c>
      <c r="L10" s="13" t="str">
        <f>Show!$B$116&amp;Show!$B$116&amp;"S.25.01.04.01 Table value {"&amp;COLUMN($D$1)&amp;"}"</f>
        <v>!!S.25.01.04.01 Table value {4}</v>
      </c>
    </row>
    <row r="12" spans="2:15">
      <c r="D12" s="92" t="s">
        <v>2877</v>
      </c>
      <c r="E12" s="93"/>
      <c r="F12" s="94"/>
    </row>
    <row r="13" spans="2:15">
      <c r="D13" s="95"/>
      <c r="E13" s="96"/>
      <c r="F13" s="97"/>
    </row>
    <row r="14" spans="2:15" ht="90">
      <c r="D14" s="55" t="s">
        <v>4623</v>
      </c>
      <c r="E14" s="55" t="s">
        <v>4624</v>
      </c>
      <c r="F14" s="55" t="s">
        <v>4625</v>
      </c>
    </row>
    <row r="15" spans="2:15">
      <c r="D15" s="45" t="s">
        <v>3225</v>
      </c>
      <c r="E15" s="45" t="s">
        <v>3223</v>
      </c>
      <c r="F15" s="45" t="s">
        <v>3229</v>
      </c>
      <c r="K15" s="13" t="str">
        <f>Show!$B$116&amp;"S.25.01.04.01 Rows {"&amp;COLUMN($C$1)&amp;"}"&amp;"@ForceFilingCode:true"</f>
        <v>!S.25.01.04.01 Rows {3}@ForceFilingCode:true</v>
      </c>
      <c r="L15" s="13" t="str">
        <f>Show!$B$116&amp;"S.25.01.04.01 Columns {"&amp;COLUMN($D$1)&amp;"}"</f>
        <v>!S.25.01.04.01 Columns {4}</v>
      </c>
    </row>
    <row r="16" spans="2:15">
      <c r="B16" s="43" t="s">
        <v>2880</v>
      </c>
      <c r="C16" s="44" t="s">
        <v>2878</v>
      </c>
      <c r="D16" s="56"/>
      <c r="E16" s="66"/>
      <c r="F16" s="57"/>
    </row>
    <row r="17" spans="2:12">
      <c r="B17" s="47" t="s">
        <v>4626</v>
      </c>
      <c r="C17" s="41" t="s">
        <v>2883</v>
      </c>
      <c r="D17" s="60"/>
      <c r="E17" s="60"/>
      <c r="F17" s="60"/>
    </row>
    <row r="18" spans="2:12">
      <c r="B18" s="47" t="s">
        <v>4627</v>
      </c>
      <c r="C18" s="41" t="s">
        <v>2885</v>
      </c>
      <c r="D18" s="60"/>
      <c r="E18" s="60"/>
      <c r="F18" s="60"/>
    </row>
    <row r="19" spans="2:12">
      <c r="B19" s="47" t="s">
        <v>4628</v>
      </c>
      <c r="C19" s="41" t="s">
        <v>2887</v>
      </c>
      <c r="D19" s="60"/>
      <c r="E19" s="60"/>
      <c r="F19" s="60"/>
    </row>
    <row r="20" spans="2:12">
      <c r="B20" s="47" t="s">
        <v>4629</v>
      </c>
      <c r="C20" s="41" t="s">
        <v>2889</v>
      </c>
      <c r="D20" s="60"/>
      <c r="E20" s="60"/>
      <c r="F20" s="60"/>
    </row>
    <row r="21" spans="2:12">
      <c r="B21" s="47" t="s">
        <v>4630</v>
      </c>
      <c r="C21" s="41" t="s">
        <v>3078</v>
      </c>
      <c r="D21" s="60"/>
      <c r="E21" s="60"/>
      <c r="F21" s="63"/>
    </row>
    <row r="22" spans="2:12">
      <c r="B22" s="47" t="s">
        <v>4631</v>
      </c>
      <c r="C22" s="41" t="s">
        <v>2891</v>
      </c>
      <c r="D22" s="60"/>
      <c r="E22" s="64"/>
      <c r="F22" s="48"/>
    </row>
    <row r="23" spans="2:12">
      <c r="B23" s="47" t="s">
        <v>4632</v>
      </c>
      <c r="C23" s="41" t="s">
        <v>2893</v>
      </c>
      <c r="D23" s="60"/>
      <c r="E23" s="64"/>
      <c r="F23" s="48"/>
    </row>
    <row r="24" spans="2:12">
      <c r="B24" s="47" t="s">
        <v>4633</v>
      </c>
      <c r="C24" s="41" t="s">
        <v>2899</v>
      </c>
      <c r="D24" s="60"/>
      <c r="E24" s="64"/>
      <c r="F24" s="46"/>
    </row>
    <row r="26" spans="2:12">
      <c r="K26" s="13" t="str">
        <f>Show!$B$116&amp;Show!$B$116&amp;"S.25.01.04.01 Rows {"&amp;COLUMN($C$1)&amp;"}"</f>
        <v>!!S.25.01.04.01 Rows {3}</v>
      </c>
      <c r="L26" s="13" t="str">
        <f>Show!$B$116&amp;Show!$B$116&amp;"S.25.01.04.01 Columns {"&amp;COLUMN($F$1)&amp;"}"</f>
        <v>!!S.25.01.04.01 Columns {6}</v>
      </c>
    </row>
    <row r="28" spans="2:12" ht="18.75">
      <c r="B28" s="88" t="s">
        <v>4670</v>
      </c>
      <c r="C28" s="87"/>
      <c r="D28" s="87"/>
      <c r="E28" s="87"/>
      <c r="F28" s="87"/>
      <c r="G28" s="87"/>
      <c r="H28" s="87"/>
      <c r="I28" s="87"/>
      <c r="J28" s="87"/>
      <c r="K28" s="87"/>
      <c r="L28" s="87"/>
    </row>
    <row r="30" spans="2:12">
      <c r="B30" t="s">
        <v>3110</v>
      </c>
      <c r="K30" s="13" t="str">
        <f>Show!$B$116&amp;"S.25.01.04.02 Table label {"&amp;COLUMN($C$1)&amp;"}"</f>
        <v>!S.25.01.04.02 Table label {3}</v>
      </c>
      <c r="L30" s="13" t="str">
        <f>Show!$B$116&amp;"S.25.01.04.02 Table value {"&amp;COLUMN($D$1)&amp;"}"</f>
        <v>!S.25.01.04.02 Table value {4}</v>
      </c>
    </row>
    <row r="31" spans="2:12">
      <c r="B31" t="s">
        <v>3111</v>
      </c>
    </row>
    <row r="32" spans="2:12">
      <c r="B32" s="40" t="s">
        <v>4622</v>
      </c>
      <c r="C32" s="53" t="s">
        <v>3113</v>
      </c>
      <c r="D32" s="51"/>
    </row>
    <row r="33" spans="2:12">
      <c r="K33" s="13" t="str">
        <f>Show!$B$116&amp;Show!$B$116&amp;"S.25.01.04.02 Table label {"&amp;COLUMN($C$1)&amp;"}"</f>
        <v>!!S.25.01.04.02 Table label {3}</v>
      </c>
      <c r="L33" s="13" t="str">
        <f>Show!$B$116&amp;Show!$B$116&amp;"S.25.01.04.02 Table value {"&amp;COLUMN($D$1)&amp;"}"</f>
        <v>!!S.25.01.04.02 Table value {4}</v>
      </c>
    </row>
    <row r="35" spans="2:12">
      <c r="D35" s="89" t="s">
        <v>2877</v>
      </c>
    </row>
    <row r="36" spans="2:12">
      <c r="D36" s="91"/>
    </row>
    <row r="37" spans="2:12">
      <c r="D37" s="89" t="s">
        <v>4635</v>
      </c>
    </row>
    <row r="38" spans="2:12">
      <c r="D38" s="90"/>
    </row>
    <row r="39" spans="2:12">
      <c r="D39" s="91"/>
    </row>
    <row r="40" spans="2:12">
      <c r="D40" s="45" t="s">
        <v>3239</v>
      </c>
      <c r="K40" s="13" t="str">
        <f>Show!$B$116&amp;"S.25.01.04.02 Rows {"&amp;COLUMN($C$1)&amp;"}"&amp;"@ForceFilingCode:true"</f>
        <v>!S.25.01.04.02 Rows {3}@ForceFilingCode:true</v>
      </c>
      <c r="L40" s="13" t="str">
        <f>Show!$B$116&amp;"S.25.01.04.02 Columns {"&amp;COLUMN($D$1)&amp;"}"</f>
        <v>!S.25.01.04.02 Columns {4}</v>
      </c>
    </row>
    <row r="41" spans="2:12">
      <c r="B41" s="43" t="s">
        <v>2880</v>
      </c>
      <c r="C41" s="44" t="s">
        <v>2878</v>
      </c>
      <c r="D41" s="46"/>
    </row>
    <row r="42" spans="2:12">
      <c r="B42" s="47" t="s">
        <v>4636</v>
      </c>
      <c r="C42" s="41" t="s">
        <v>2903</v>
      </c>
      <c r="D42" s="60"/>
    </row>
    <row r="43" spans="2:12">
      <c r="B43" s="47" t="s">
        <v>4637</v>
      </c>
      <c r="C43" s="41" t="s">
        <v>2905</v>
      </c>
      <c r="D43" s="60"/>
    </row>
    <row r="44" spans="2:12">
      <c r="B44" s="47" t="s">
        <v>4638</v>
      </c>
      <c r="C44" s="41" t="s">
        <v>2907</v>
      </c>
      <c r="D44" s="60"/>
    </row>
    <row r="45" spans="2:12">
      <c r="B45" s="47" t="s">
        <v>4639</v>
      </c>
      <c r="C45" s="41" t="s">
        <v>2909</v>
      </c>
      <c r="D45" s="60"/>
    </row>
    <row r="46" spans="2:12" ht="30">
      <c r="B46" s="47" t="s">
        <v>4640</v>
      </c>
      <c r="C46" s="41" t="s">
        <v>2911</v>
      </c>
      <c r="D46" s="60"/>
    </row>
    <row r="47" spans="2:12">
      <c r="B47" s="47" t="s">
        <v>4641</v>
      </c>
      <c r="C47" s="41" t="s">
        <v>2919</v>
      </c>
      <c r="D47" s="60"/>
    </row>
    <row r="48" spans="2:12">
      <c r="B48" s="47" t="s">
        <v>4671</v>
      </c>
      <c r="C48" s="41" t="s">
        <v>2921</v>
      </c>
      <c r="D48" s="60"/>
    </row>
    <row r="49" spans="2:4">
      <c r="B49" s="47" t="s">
        <v>4672</v>
      </c>
      <c r="C49" s="41" t="s">
        <v>2923</v>
      </c>
      <c r="D49" s="63"/>
    </row>
    <row r="50" spans="2:4">
      <c r="B50" s="47" t="s">
        <v>4644</v>
      </c>
      <c r="C50" s="44" t="s">
        <v>2878</v>
      </c>
      <c r="D50" s="46"/>
    </row>
    <row r="51" spans="2:4">
      <c r="B51" s="49" t="s">
        <v>4645</v>
      </c>
      <c r="C51" s="41" t="s">
        <v>2959</v>
      </c>
      <c r="D51" s="60"/>
    </row>
    <row r="52" spans="2:4">
      <c r="B52" s="49" t="s">
        <v>4646</v>
      </c>
      <c r="C52" s="41" t="s">
        <v>2961</v>
      </c>
      <c r="D52" s="60"/>
    </row>
    <row r="53" spans="2:4">
      <c r="B53" s="49" t="s">
        <v>4647</v>
      </c>
      <c r="C53" s="41" t="s">
        <v>2963</v>
      </c>
      <c r="D53" s="60"/>
    </row>
    <row r="54" spans="2:4" ht="30">
      <c r="B54" s="49" t="s">
        <v>4648</v>
      </c>
      <c r="C54" s="41" t="s">
        <v>2965</v>
      </c>
      <c r="D54" s="60"/>
    </row>
    <row r="55" spans="2:4">
      <c r="B55" s="49" t="s">
        <v>4649</v>
      </c>
      <c r="C55" s="41" t="s">
        <v>2967</v>
      </c>
      <c r="D55" s="60"/>
    </row>
    <row r="56" spans="2:4">
      <c r="B56" s="49" t="s">
        <v>4650</v>
      </c>
      <c r="C56" s="41" t="s">
        <v>2969</v>
      </c>
      <c r="D56" s="51"/>
    </row>
    <row r="57" spans="2:4">
      <c r="B57" s="49" t="s">
        <v>4651</v>
      </c>
      <c r="C57" s="41" t="s">
        <v>2971</v>
      </c>
      <c r="D57" s="60"/>
    </row>
    <row r="58" spans="2:4">
      <c r="B58" s="49" t="s">
        <v>4673</v>
      </c>
      <c r="C58" s="41" t="s">
        <v>2973</v>
      </c>
      <c r="D58" s="63"/>
    </row>
    <row r="59" spans="2:4">
      <c r="B59" s="47" t="s">
        <v>4674</v>
      </c>
      <c r="C59" s="44" t="s">
        <v>2878</v>
      </c>
      <c r="D59" s="46"/>
    </row>
    <row r="60" spans="2:4">
      <c r="B60" s="49" t="s">
        <v>4675</v>
      </c>
      <c r="C60" s="41" t="s">
        <v>2977</v>
      </c>
      <c r="D60" s="60"/>
    </row>
    <row r="61" spans="2:4" ht="45">
      <c r="B61" s="61" t="s">
        <v>4676</v>
      </c>
      <c r="C61" s="41" t="s">
        <v>2979</v>
      </c>
      <c r="D61" s="60"/>
    </row>
    <row r="62" spans="2:4" ht="30">
      <c r="B62" s="61" t="s">
        <v>4677</v>
      </c>
      <c r="C62" s="41" t="s">
        <v>2981</v>
      </c>
      <c r="D62" s="60"/>
    </row>
    <row r="63" spans="2:4" ht="30">
      <c r="B63" s="61" t="s">
        <v>4678</v>
      </c>
      <c r="C63" s="41" t="s">
        <v>2983</v>
      </c>
      <c r="D63" s="60"/>
    </row>
    <row r="64" spans="2:4">
      <c r="B64" s="49" t="s">
        <v>4679</v>
      </c>
      <c r="C64" s="41" t="s">
        <v>2985</v>
      </c>
      <c r="D64" s="60"/>
    </row>
    <row r="65" spans="2:12">
      <c r="B65" s="49" t="s">
        <v>4680</v>
      </c>
      <c r="C65" s="41" t="s">
        <v>2987</v>
      </c>
      <c r="D65" s="63"/>
    </row>
    <row r="66" spans="2:12">
      <c r="B66" s="47" t="s">
        <v>4681</v>
      </c>
      <c r="C66" s="44" t="s">
        <v>2878</v>
      </c>
      <c r="D66" s="46"/>
    </row>
    <row r="67" spans="2:12">
      <c r="B67" s="49" t="s">
        <v>4682</v>
      </c>
      <c r="C67" s="41" t="s">
        <v>2989</v>
      </c>
      <c r="D67" s="60"/>
    </row>
    <row r="68" spans="2:12">
      <c r="B68" s="49" t="s">
        <v>4643</v>
      </c>
      <c r="C68" s="41" t="s">
        <v>2991</v>
      </c>
      <c r="D68" s="60"/>
    </row>
    <row r="70" spans="2:12">
      <c r="K70" s="13" t="str">
        <f>Show!$B$116&amp;Show!$B$116&amp;"S.25.01.04.02 Rows {"&amp;COLUMN($C$1)&amp;"}"</f>
        <v>!!S.25.01.04.02 Rows {3}</v>
      </c>
      <c r="L70" s="13" t="str">
        <f>Show!$B$116&amp;Show!$B$116&amp;"S.25.01.04.02 Columns {"&amp;COLUMN($D$1)&amp;"}"</f>
        <v>!!S.25.01.04.02 Columns {4}</v>
      </c>
    </row>
  </sheetData>
  <sheetProtection sheet="1" objects="1" scenarios="1"/>
  <mergeCells count="6">
    <mergeCell ref="D37:D39"/>
    <mergeCell ref="B2:O2"/>
    <mergeCell ref="B5:L5"/>
    <mergeCell ref="D12:F13"/>
    <mergeCell ref="B28:L28"/>
    <mergeCell ref="D35:D36"/>
  </mergeCells>
  <dataValidations count="2">
    <dataValidation type="list" errorStyle="warning" allowBlank="1" showInputMessage="1" showErrorMessage="1" sqref="D9 D32" xr:uid="{91995DB1-1BDB-4B09-BC72-217AEF085B54}">
      <formula1>hier_AO_1</formula1>
    </dataValidation>
    <dataValidation type="list" errorStyle="warning" allowBlank="1" showInputMessage="1" showErrorMessage="1" sqref="D56" xr:uid="{DD0D5122-3B4C-4438-B4DA-535B32FC1E5B}">
      <formula1>hier_AP_18</formula1>
    </dataValidation>
  </dataValidations>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8832A-332B-43CF-87E3-2BDD51ADF5AB}">
  <sheetPr codeName="Blad121"/>
  <dimension ref="B2:O96"/>
  <sheetViews>
    <sheetView showGridLines="0" workbookViewId="0">
      <selection activeCell="D41" sqref="D41"/>
    </sheetView>
  </sheetViews>
  <sheetFormatPr defaultRowHeight="15"/>
  <cols>
    <col min="2" max="2" width="79.42578125" bestFit="1" customWidth="1"/>
    <col min="4" max="5" width="15.7109375" customWidth="1"/>
  </cols>
  <sheetData>
    <row r="2" spans="2:15" ht="23.25">
      <c r="B2" s="86" t="s">
        <v>687</v>
      </c>
      <c r="C2" s="87"/>
      <c r="D2" s="87"/>
      <c r="E2" s="87"/>
      <c r="F2" s="87"/>
      <c r="G2" s="87"/>
      <c r="H2" s="87"/>
      <c r="I2" s="87"/>
      <c r="J2" s="87"/>
      <c r="K2" s="87"/>
      <c r="L2" s="87"/>
      <c r="M2" s="87"/>
      <c r="N2" s="87"/>
      <c r="O2" s="87"/>
    </row>
    <row r="5" spans="2:15" ht="18.75">
      <c r="B5" s="88" t="s">
        <v>4683</v>
      </c>
      <c r="C5" s="87"/>
      <c r="D5" s="87"/>
      <c r="E5" s="87"/>
      <c r="F5" s="87"/>
      <c r="G5" s="87"/>
      <c r="H5" s="87"/>
      <c r="I5" s="87"/>
      <c r="J5" s="87"/>
      <c r="K5" s="87"/>
      <c r="L5" s="87"/>
    </row>
    <row r="9" spans="2:15">
      <c r="D9" s="92" t="s">
        <v>2877</v>
      </c>
      <c r="E9" s="94"/>
    </row>
    <row r="10" spans="2:15">
      <c r="D10" s="95"/>
      <c r="E10" s="97"/>
    </row>
    <row r="11" spans="2:15" ht="45">
      <c r="D11" s="55" t="s">
        <v>4624</v>
      </c>
      <c r="E11" s="55" t="s">
        <v>4684</v>
      </c>
    </row>
    <row r="12" spans="2:15">
      <c r="D12" s="45" t="s">
        <v>3241</v>
      </c>
      <c r="E12" s="45" t="s">
        <v>3243</v>
      </c>
      <c r="J12" s="13"/>
      <c r="K12" s="13"/>
    </row>
    <row r="13" spans="2:15">
      <c r="B13" s="43" t="s">
        <v>2880</v>
      </c>
      <c r="C13" s="44" t="s">
        <v>2878</v>
      </c>
      <c r="D13" s="56"/>
      <c r="E13" s="57"/>
    </row>
    <row r="14" spans="2:15">
      <c r="B14" s="47" t="s">
        <v>4626</v>
      </c>
      <c r="C14" s="41" t="s">
        <v>2883</v>
      </c>
      <c r="D14" s="60">
        <v>1304274296.7554581</v>
      </c>
      <c r="E14" s="68"/>
    </row>
    <row r="15" spans="2:15">
      <c r="B15" s="47" t="s">
        <v>4627</v>
      </c>
      <c r="C15" s="41" t="s">
        <v>2885</v>
      </c>
      <c r="D15" s="60">
        <v>20706245.096734799</v>
      </c>
      <c r="E15" s="46"/>
    </row>
    <row r="16" spans="2:15">
      <c r="B16" s="47" t="s">
        <v>4628</v>
      </c>
      <c r="C16" s="41" t="s">
        <v>2887</v>
      </c>
      <c r="D16" s="60">
        <v>2337817.5485752691</v>
      </c>
      <c r="E16" s="51"/>
    </row>
    <row r="17" spans="2:12">
      <c r="B17" s="47" t="s">
        <v>4629</v>
      </c>
      <c r="C17" s="41" t="s">
        <v>2889</v>
      </c>
      <c r="D17" s="60">
        <v>60861206.496884033</v>
      </c>
      <c r="E17" s="51"/>
    </row>
    <row r="18" spans="2:12">
      <c r="B18" s="47" t="s">
        <v>4630</v>
      </c>
      <c r="C18" s="41" t="s">
        <v>3078</v>
      </c>
      <c r="D18" s="60">
        <v>457379607.40976393</v>
      </c>
      <c r="E18" s="68"/>
    </row>
    <row r="19" spans="2:12">
      <c r="B19" s="47" t="s">
        <v>4631</v>
      </c>
      <c r="C19" s="41" t="s">
        <v>2891</v>
      </c>
      <c r="D19" s="60">
        <v>-336369362.37194753</v>
      </c>
      <c r="E19" s="48"/>
    </row>
    <row r="20" spans="2:12">
      <c r="B20" s="47" t="s">
        <v>4632</v>
      </c>
      <c r="C20" s="41" t="s">
        <v>2893</v>
      </c>
      <c r="D20" s="60">
        <v>0</v>
      </c>
      <c r="E20" s="48"/>
    </row>
    <row r="21" spans="2:12">
      <c r="B21" s="47" t="s">
        <v>4633</v>
      </c>
      <c r="C21" s="41" t="s">
        <v>2899</v>
      </c>
      <c r="D21" s="60">
        <v>1509189810.9354684</v>
      </c>
      <c r="E21" s="46"/>
    </row>
    <row r="23" spans="2:12">
      <c r="J23" s="13"/>
      <c r="K23" s="13"/>
    </row>
    <row r="25" spans="2:12" ht="18.75">
      <c r="B25" s="88" t="s">
        <v>4685</v>
      </c>
      <c r="C25" s="87"/>
      <c r="D25" s="87"/>
      <c r="E25" s="87"/>
      <c r="F25" s="87"/>
      <c r="G25" s="87"/>
      <c r="H25" s="87"/>
      <c r="I25" s="87"/>
      <c r="J25" s="87"/>
      <c r="K25" s="87"/>
      <c r="L25" s="87"/>
    </row>
    <row r="29" spans="2:12">
      <c r="D29" s="89" t="s">
        <v>2877</v>
      </c>
    </row>
    <row r="30" spans="2:12">
      <c r="D30" s="91"/>
    </row>
    <row r="31" spans="2:12">
      <c r="D31" s="89" t="s">
        <v>4635</v>
      </c>
    </row>
    <row r="32" spans="2:12">
      <c r="D32" s="91"/>
    </row>
    <row r="33" spans="2:11">
      <c r="D33" s="45" t="s">
        <v>3239</v>
      </c>
      <c r="J33" s="13"/>
      <c r="K33" s="13"/>
    </row>
    <row r="34" spans="2:11">
      <c r="B34" s="43" t="s">
        <v>2880</v>
      </c>
      <c r="C34" s="44" t="s">
        <v>2878</v>
      </c>
      <c r="D34" s="46"/>
    </row>
    <row r="35" spans="2:11">
      <c r="B35" s="47" t="s">
        <v>4637</v>
      </c>
      <c r="C35" s="41" t="s">
        <v>2905</v>
      </c>
      <c r="D35" s="60">
        <v>48048265.679816514</v>
      </c>
    </row>
    <row r="36" spans="2:11">
      <c r="B36" s="47" t="s">
        <v>4638</v>
      </c>
      <c r="C36" s="41" t="s">
        <v>2907</v>
      </c>
      <c r="D36" s="60">
        <v>0</v>
      </c>
    </row>
    <row r="37" spans="2:11">
      <c r="B37" s="47" t="s">
        <v>4639</v>
      </c>
      <c r="C37" s="41" t="s">
        <v>2909</v>
      </c>
      <c r="D37" s="60">
        <v>0</v>
      </c>
    </row>
    <row r="38" spans="2:11" ht="30">
      <c r="B38" s="47" t="s">
        <v>4640</v>
      </c>
      <c r="C38" s="41" t="s">
        <v>2911</v>
      </c>
      <c r="D38" s="60">
        <v>0</v>
      </c>
    </row>
    <row r="39" spans="2:11">
      <c r="B39" s="47" t="s">
        <v>4641</v>
      </c>
      <c r="C39" s="41" t="s">
        <v>2919</v>
      </c>
      <c r="D39" s="60">
        <v>1557238076.6152849</v>
      </c>
    </row>
    <row r="40" spans="2:11">
      <c r="B40" s="47" t="s">
        <v>4642</v>
      </c>
      <c r="C40" s="41" t="s">
        <v>2921</v>
      </c>
      <c r="D40" s="60">
        <v>0</v>
      </c>
    </row>
    <row r="41" spans="2:11">
      <c r="B41" s="47" t="s">
        <v>4643</v>
      </c>
      <c r="C41" s="41" t="s">
        <v>2923</v>
      </c>
      <c r="D41" s="60">
        <v>1557238076.6152849</v>
      </c>
    </row>
    <row r="42" spans="2:11">
      <c r="B42" s="47" t="s">
        <v>4644</v>
      </c>
      <c r="C42" s="44" t="s">
        <v>2878</v>
      </c>
      <c r="D42" s="46"/>
    </row>
    <row r="43" spans="2:11">
      <c r="B43" s="49" t="s">
        <v>4645</v>
      </c>
      <c r="C43" s="41" t="s">
        <v>2959</v>
      </c>
      <c r="D43" s="60"/>
    </row>
    <row r="44" spans="2:11">
      <c r="B44" s="49" t="s">
        <v>4646</v>
      </c>
      <c r="C44" s="41" t="s">
        <v>2961</v>
      </c>
      <c r="D44" s="60"/>
    </row>
    <row r="45" spans="2:11">
      <c r="B45" s="49" t="s">
        <v>4647</v>
      </c>
      <c r="C45" s="41" t="s">
        <v>2963</v>
      </c>
      <c r="D45" s="60"/>
    </row>
    <row r="46" spans="2:11" ht="30">
      <c r="B46" s="49" t="s">
        <v>4648</v>
      </c>
      <c r="C46" s="41" t="s">
        <v>2965</v>
      </c>
      <c r="D46" s="60"/>
    </row>
    <row r="47" spans="2:11">
      <c r="B47" s="49" t="s">
        <v>4649</v>
      </c>
      <c r="C47" s="41" t="s">
        <v>2967</v>
      </c>
      <c r="D47" s="60"/>
    </row>
    <row r="49" spans="2:12">
      <c r="J49" s="13"/>
      <c r="K49" s="13"/>
    </row>
    <row r="51" spans="2:12" ht="18.75">
      <c r="B51" s="88" t="s">
        <v>4686</v>
      </c>
      <c r="C51" s="87"/>
      <c r="D51" s="87"/>
      <c r="E51" s="87"/>
      <c r="F51" s="87"/>
      <c r="G51" s="87"/>
      <c r="H51" s="87"/>
      <c r="I51" s="87"/>
      <c r="J51" s="87"/>
      <c r="K51" s="87"/>
      <c r="L51" s="87"/>
    </row>
    <row r="55" spans="2:12">
      <c r="D55" s="89" t="s">
        <v>2877</v>
      </c>
    </row>
    <row r="56" spans="2:12">
      <c r="D56" s="91"/>
    </row>
    <row r="57" spans="2:12">
      <c r="D57" s="55" t="s">
        <v>4687</v>
      </c>
    </row>
    <row r="58" spans="2:12">
      <c r="D58" s="45" t="s">
        <v>3236</v>
      </c>
      <c r="J58" s="13"/>
      <c r="K58" s="13"/>
    </row>
    <row r="59" spans="2:12">
      <c r="B59" s="43" t="s">
        <v>2880</v>
      </c>
      <c r="C59" s="44" t="s">
        <v>2878</v>
      </c>
      <c r="D59" s="46"/>
    </row>
    <row r="60" spans="2:12">
      <c r="B60" s="47" t="s">
        <v>4628</v>
      </c>
      <c r="C60" s="41" t="s">
        <v>2887</v>
      </c>
      <c r="D60" s="51"/>
    </row>
    <row r="61" spans="2:12">
      <c r="B61" s="47" t="s">
        <v>4629</v>
      </c>
      <c r="C61" s="41" t="s">
        <v>2889</v>
      </c>
      <c r="D61" s="51"/>
    </row>
    <row r="62" spans="2:12">
      <c r="B62" s="47" t="s">
        <v>4630</v>
      </c>
      <c r="C62" s="41" t="s">
        <v>3078</v>
      </c>
      <c r="D62" s="51"/>
    </row>
    <row r="64" spans="2:12">
      <c r="J64" s="13"/>
      <c r="K64" s="13"/>
    </row>
    <row r="66" spans="2:12" ht="18.75">
      <c r="B66" s="88" t="s">
        <v>4688</v>
      </c>
      <c r="C66" s="87"/>
      <c r="D66" s="87"/>
      <c r="E66" s="87"/>
      <c r="F66" s="87"/>
      <c r="G66" s="87"/>
      <c r="H66" s="87"/>
      <c r="I66" s="87"/>
      <c r="J66" s="87"/>
      <c r="K66" s="87"/>
      <c r="L66" s="87"/>
    </row>
    <row r="70" spans="2:12">
      <c r="D70" s="89" t="s">
        <v>2877</v>
      </c>
    </row>
    <row r="71" spans="2:12">
      <c r="D71" s="91"/>
    </row>
    <row r="72" spans="2:12">
      <c r="D72" s="55" t="s">
        <v>4653</v>
      </c>
    </row>
    <row r="73" spans="2:12">
      <c r="D73" s="45" t="s">
        <v>4654</v>
      </c>
      <c r="J73" s="13"/>
      <c r="K73" s="13"/>
    </row>
    <row r="74" spans="2:12">
      <c r="B74" s="43" t="s">
        <v>2880</v>
      </c>
      <c r="C74" s="44" t="s">
        <v>2878</v>
      </c>
      <c r="D74" s="46"/>
    </row>
    <row r="75" spans="2:12">
      <c r="B75" s="47" t="s">
        <v>2562</v>
      </c>
      <c r="C75" s="41" t="s">
        <v>2995</v>
      </c>
      <c r="D75" s="51"/>
    </row>
    <row r="77" spans="2:12">
      <c r="J77" s="13"/>
      <c r="K77" s="13"/>
    </row>
    <row r="79" spans="2:12" ht="18.75">
      <c r="B79" s="88" t="s">
        <v>4689</v>
      </c>
      <c r="C79" s="87"/>
      <c r="D79" s="87"/>
      <c r="E79" s="87"/>
      <c r="F79" s="87"/>
      <c r="G79" s="87"/>
      <c r="H79" s="87"/>
      <c r="I79" s="87"/>
      <c r="J79" s="87"/>
      <c r="K79" s="87"/>
      <c r="L79" s="87"/>
    </row>
    <row r="83" spans="2:11">
      <c r="D83" s="89" t="s">
        <v>2877</v>
      </c>
    </row>
    <row r="84" spans="2:11">
      <c r="D84" s="91"/>
    </row>
    <row r="85" spans="2:11">
      <c r="D85" s="89" t="s">
        <v>4663</v>
      </c>
    </row>
    <row r="86" spans="2:11">
      <c r="D86" s="91"/>
    </row>
    <row r="87" spans="2:11">
      <c r="D87" s="45" t="s">
        <v>3375</v>
      </c>
      <c r="J87" s="13"/>
      <c r="K87" s="13"/>
    </row>
    <row r="88" spans="2:11">
      <c r="B88" s="43" t="s">
        <v>2880</v>
      </c>
      <c r="C88" s="44" t="s">
        <v>2878</v>
      </c>
      <c r="D88" s="46"/>
    </row>
    <row r="89" spans="2:11">
      <c r="B89" s="47" t="s">
        <v>4663</v>
      </c>
      <c r="C89" s="41" t="s">
        <v>3005</v>
      </c>
      <c r="D89" s="60"/>
    </row>
    <row r="90" spans="2:11">
      <c r="B90" s="49" t="s">
        <v>4664</v>
      </c>
      <c r="C90" s="41" t="s">
        <v>3007</v>
      </c>
      <c r="D90" s="60"/>
    </row>
    <row r="91" spans="2:11">
      <c r="B91" s="49" t="s">
        <v>4665</v>
      </c>
      <c r="C91" s="41" t="s">
        <v>3009</v>
      </c>
      <c r="D91" s="60"/>
    </row>
    <row r="92" spans="2:11">
      <c r="B92" s="49" t="s">
        <v>4666</v>
      </c>
      <c r="C92" s="41" t="s">
        <v>3011</v>
      </c>
      <c r="D92" s="60"/>
    </row>
    <row r="93" spans="2:11">
      <c r="B93" s="49" t="s">
        <v>4667</v>
      </c>
      <c r="C93" s="41" t="s">
        <v>3013</v>
      </c>
      <c r="D93" s="60"/>
    </row>
    <row r="94" spans="2:11">
      <c r="B94" s="49" t="s">
        <v>4668</v>
      </c>
      <c r="C94" s="41" t="s">
        <v>3015</v>
      </c>
      <c r="D94" s="60"/>
    </row>
    <row r="96" spans="2:11">
      <c r="J96" s="13"/>
      <c r="K96" s="13"/>
    </row>
  </sheetData>
  <mergeCells count="13">
    <mergeCell ref="D31:D32"/>
    <mergeCell ref="B2:O2"/>
    <mergeCell ref="B5:L5"/>
    <mergeCell ref="D9:E10"/>
    <mergeCell ref="B25:L25"/>
    <mergeCell ref="D29:D30"/>
    <mergeCell ref="D85:D86"/>
    <mergeCell ref="B51:L51"/>
    <mergeCell ref="D55:D56"/>
    <mergeCell ref="B66:L66"/>
    <mergeCell ref="D70:D71"/>
    <mergeCell ref="B79:L79"/>
    <mergeCell ref="D83:D84"/>
  </mergeCells>
  <dataValidations count="1">
    <dataValidation type="list" errorStyle="warning" allowBlank="1" showInputMessage="1" showErrorMessage="1" sqref="D75" xr:uid="{6A84ABD2-E517-4659-B59A-57CC2BA42BED}">
      <formula1>hier_AP_24</formula1>
    </dataValidation>
  </dataValidations>
  <pageMargins left="0.7" right="0.7" top="0.75" bottom="0.75" header="0.3" footer="0.3"/>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7ECB0-0440-4B79-B9BD-C6A642EDD837}">
  <sheetPr codeName="Blad122"/>
  <dimension ref="B2:O76"/>
  <sheetViews>
    <sheetView showGridLines="0" workbookViewId="0"/>
  </sheetViews>
  <sheetFormatPr defaultRowHeight="15"/>
  <cols>
    <col min="2" max="2" width="84.42578125" bestFit="1" customWidth="1"/>
    <col min="4" max="4" width="40.7109375" customWidth="1"/>
    <col min="5" max="5" width="15.7109375" customWidth="1"/>
  </cols>
  <sheetData>
    <row r="2" spans="2:15" ht="23.25">
      <c r="B2" s="86" t="s">
        <v>689</v>
      </c>
      <c r="C2" s="87"/>
      <c r="D2" s="87"/>
      <c r="E2" s="87"/>
      <c r="F2" s="87"/>
      <c r="G2" s="87"/>
      <c r="H2" s="87"/>
      <c r="I2" s="87"/>
      <c r="J2" s="87"/>
      <c r="K2" s="87"/>
      <c r="L2" s="87"/>
      <c r="M2" s="87"/>
      <c r="N2" s="87"/>
      <c r="O2" s="87"/>
    </row>
    <row r="5" spans="2:15" ht="18.75">
      <c r="B5" s="88" t="s">
        <v>4690</v>
      </c>
      <c r="C5" s="87"/>
      <c r="D5" s="87"/>
      <c r="E5" s="87"/>
      <c r="F5" s="87"/>
      <c r="G5" s="87"/>
      <c r="H5" s="87"/>
      <c r="I5" s="87"/>
      <c r="J5" s="87"/>
      <c r="K5" s="87"/>
      <c r="L5" s="87"/>
    </row>
    <row r="9" spans="2:15">
      <c r="D9" s="92" t="s">
        <v>2877</v>
      </c>
      <c r="E9" s="94"/>
    </row>
    <row r="10" spans="2:15">
      <c r="D10" s="95"/>
      <c r="E10" s="97"/>
    </row>
    <row r="11" spans="2:15">
      <c r="D11" s="55" t="s">
        <v>4624</v>
      </c>
      <c r="E11" s="55" t="s">
        <v>4684</v>
      </c>
    </row>
    <row r="12" spans="2:15">
      <c r="D12" s="45" t="s">
        <v>3241</v>
      </c>
      <c r="E12" s="45" t="s">
        <v>3243</v>
      </c>
      <c r="J12" s="13" t="str">
        <f>Show!$B$118&amp;"S.25.01.22.01 Rows {"&amp;COLUMN($C$1)&amp;"}"&amp;"@ForceFilingCode:true"</f>
        <v>!S.25.01.22.01 Rows {3}@ForceFilingCode:true</v>
      </c>
      <c r="K12" s="13" t="str">
        <f>Show!$B$118&amp;"S.25.01.22.01 Columns {"&amp;COLUMN($D$1)&amp;"}"</f>
        <v>!S.25.01.22.01 Columns {4}</v>
      </c>
    </row>
    <row r="13" spans="2:15">
      <c r="B13" s="43" t="s">
        <v>2880</v>
      </c>
      <c r="C13" s="44" t="s">
        <v>2878</v>
      </c>
      <c r="D13" s="56"/>
      <c r="E13" s="57"/>
    </row>
    <row r="14" spans="2:15">
      <c r="B14" s="47" t="s">
        <v>4626</v>
      </c>
      <c r="C14" s="41" t="s">
        <v>2883</v>
      </c>
      <c r="D14" s="60"/>
      <c r="E14" s="68"/>
    </row>
    <row r="15" spans="2:15">
      <c r="B15" s="47" t="s">
        <v>4627</v>
      </c>
      <c r="C15" s="41" t="s">
        <v>2885</v>
      </c>
      <c r="D15" s="64"/>
      <c r="E15" s="46"/>
    </row>
    <row r="16" spans="2:15">
      <c r="B16" s="47" t="s">
        <v>4628</v>
      </c>
      <c r="C16" s="41" t="s">
        <v>2887</v>
      </c>
      <c r="D16" s="60"/>
      <c r="E16" s="51"/>
    </row>
    <row r="17" spans="2:12">
      <c r="B17" s="47" t="s">
        <v>4629</v>
      </c>
      <c r="C17" s="41" t="s">
        <v>2889</v>
      </c>
      <c r="D17" s="60"/>
      <c r="E17" s="51"/>
    </row>
    <row r="18" spans="2:12">
      <c r="B18" s="47" t="s">
        <v>4630</v>
      </c>
      <c r="C18" s="41" t="s">
        <v>3078</v>
      </c>
      <c r="D18" s="60"/>
      <c r="E18" s="68"/>
    </row>
    <row r="19" spans="2:12">
      <c r="B19" s="47" t="s">
        <v>4631</v>
      </c>
      <c r="C19" s="41" t="s">
        <v>2891</v>
      </c>
      <c r="D19" s="64"/>
      <c r="E19" s="48"/>
    </row>
    <row r="20" spans="2:12">
      <c r="B20" s="47" t="s">
        <v>4632</v>
      </c>
      <c r="C20" s="41" t="s">
        <v>2893</v>
      </c>
      <c r="D20" s="64"/>
      <c r="E20" s="48"/>
    </row>
    <row r="21" spans="2:12">
      <c r="B21" s="47" t="s">
        <v>4633</v>
      </c>
      <c r="C21" s="41" t="s">
        <v>2899</v>
      </c>
      <c r="D21" s="64"/>
      <c r="E21" s="46"/>
    </row>
    <row r="23" spans="2:12">
      <c r="J23" s="13" t="str">
        <f>Show!$B$118&amp;Show!$B$118&amp;"S.25.01.22.01 Rows {"&amp;COLUMN($C$1)&amp;"}"</f>
        <v>!!S.25.01.22.01 Rows {3}</v>
      </c>
      <c r="K23" s="13" t="str">
        <f>Show!$B$118&amp;Show!$B$118&amp;"S.25.01.22.01 Columns {"&amp;COLUMN($E$1)&amp;"}"</f>
        <v>!!S.25.01.22.01 Columns {5}</v>
      </c>
    </row>
    <row r="25" spans="2:12" ht="18.75">
      <c r="B25" s="88" t="s">
        <v>4691</v>
      </c>
      <c r="C25" s="87"/>
      <c r="D25" s="87"/>
      <c r="E25" s="87"/>
      <c r="F25" s="87"/>
      <c r="G25" s="87"/>
      <c r="H25" s="87"/>
      <c r="I25" s="87"/>
      <c r="J25" s="87"/>
      <c r="K25" s="87"/>
      <c r="L25" s="87"/>
    </row>
    <row r="29" spans="2:12">
      <c r="D29" s="89" t="s">
        <v>2877</v>
      </c>
    </row>
    <row r="30" spans="2:12">
      <c r="D30" s="91"/>
    </row>
    <row r="31" spans="2:12">
      <c r="D31" s="89" t="s">
        <v>4635</v>
      </c>
    </row>
    <row r="32" spans="2:12">
      <c r="D32" s="90"/>
    </row>
    <row r="33" spans="2:11">
      <c r="D33" s="91"/>
    </row>
    <row r="34" spans="2:11">
      <c r="D34" s="45" t="s">
        <v>3239</v>
      </c>
      <c r="J34" s="13" t="str">
        <f>Show!$B$118&amp;"S.25.01.22.02 Rows {"&amp;COLUMN($C$1)&amp;"}"&amp;"@ForceFilingCode:true"</f>
        <v>!S.25.01.22.02 Rows {3}@ForceFilingCode:true</v>
      </c>
      <c r="K34" s="13" t="str">
        <f>Show!$B$118&amp;"S.25.01.22.02 Columns {"&amp;COLUMN($D$1)&amp;"}"</f>
        <v>!S.25.01.22.02 Columns {4}</v>
      </c>
    </row>
    <row r="35" spans="2:11">
      <c r="B35" s="43" t="s">
        <v>2880</v>
      </c>
      <c r="C35" s="44" t="s">
        <v>2878</v>
      </c>
      <c r="D35" s="46"/>
    </row>
    <row r="36" spans="2:11">
      <c r="B36" s="47" t="s">
        <v>4637</v>
      </c>
      <c r="C36" s="41" t="s">
        <v>2905</v>
      </c>
      <c r="D36" s="60"/>
    </row>
    <row r="37" spans="2:11">
      <c r="B37" s="47" t="s">
        <v>4638</v>
      </c>
      <c r="C37" s="41" t="s">
        <v>2907</v>
      </c>
      <c r="D37" s="60"/>
    </row>
    <row r="38" spans="2:11">
      <c r="B38" s="47" t="s">
        <v>4639</v>
      </c>
      <c r="C38" s="41" t="s">
        <v>2909</v>
      </c>
      <c r="D38" s="60"/>
    </row>
    <row r="39" spans="2:11" ht="30">
      <c r="B39" s="47" t="s">
        <v>4640</v>
      </c>
      <c r="C39" s="41" t="s">
        <v>2911</v>
      </c>
      <c r="D39" s="60"/>
    </row>
    <row r="40" spans="2:11">
      <c r="B40" s="47" t="s">
        <v>4641</v>
      </c>
      <c r="C40" s="41" t="s">
        <v>2919</v>
      </c>
      <c r="D40" s="60"/>
    </row>
    <row r="41" spans="2:11">
      <c r="B41" s="47" t="s">
        <v>4671</v>
      </c>
      <c r="C41" s="41" t="s">
        <v>2921</v>
      </c>
      <c r="D41" s="60"/>
    </row>
    <row r="42" spans="2:11">
      <c r="B42" s="47" t="s">
        <v>4672</v>
      </c>
      <c r="C42" s="41" t="s">
        <v>2923</v>
      </c>
      <c r="D42" s="63"/>
    </row>
    <row r="43" spans="2:11">
      <c r="B43" s="47" t="s">
        <v>4644</v>
      </c>
      <c r="C43" s="44" t="s">
        <v>2878</v>
      </c>
      <c r="D43" s="46"/>
    </row>
    <row r="44" spans="2:11">
      <c r="B44" s="49" t="s">
        <v>4645</v>
      </c>
      <c r="C44" s="41" t="s">
        <v>2959</v>
      </c>
      <c r="D44" s="60"/>
    </row>
    <row r="45" spans="2:11">
      <c r="B45" s="49" t="s">
        <v>4646</v>
      </c>
      <c r="C45" s="41" t="s">
        <v>2961</v>
      </c>
      <c r="D45" s="60"/>
    </row>
    <row r="46" spans="2:11">
      <c r="B46" s="49" t="s">
        <v>4647</v>
      </c>
      <c r="C46" s="41" t="s">
        <v>2963</v>
      </c>
      <c r="D46" s="60"/>
    </row>
    <row r="47" spans="2:11" ht="30">
      <c r="B47" s="49" t="s">
        <v>4648</v>
      </c>
      <c r="C47" s="41" t="s">
        <v>2965</v>
      </c>
      <c r="D47" s="60"/>
    </row>
    <row r="48" spans="2:11">
      <c r="B48" s="49" t="s">
        <v>4649</v>
      </c>
      <c r="C48" s="41" t="s">
        <v>2967</v>
      </c>
      <c r="D48" s="60"/>
    </row>
    <row r="49" spans="2:12">
      <c r="B49" s="49" t="s">
        <v>4673</v>
      </c>
      <c r="C49" s="41" t="s">
        <v>2973</v>
      </c>
      <c r="D49" s="63"/>
    </row>
    <row r="50" spans="2:12">
      <c r="B50" s="47" t="s">
        <v>4674</v>
      </c>
      <c r="C50" s="44" t="s">
        <v>2878</v>
      </c>
      <c r="D50" s="46"/>
    </row>
    <row r="51" spans="2:12">
      <c r="B51" s="49" t="s">
        <v>4675</v>
      </c>
      <c r="C51" s="41" t="s">
        <v>2977</v>
      </c>
      <c r="D51" s="60"/>
    </row>
    <row r="52" spans="2:12" ht="45">
      <c r="B52" s="61" t="s">
        <v>4676</v>
      </c>
      <c r="C52" s="41" t="s">
        <v>2979</v>
      </c>
      <c r="D52" s="60"/>
    </row>
    <row r="53" spans="2:12" ht="30">
      <c r="B53" s="61" t="s">
        <v>4677</v>
      </c>
      <c r="C53" s="41" t="s">
        <v>2981</v>
      </c>
      <c r="D53" s="60"/>
    </row>
    <row r="54" spans="2:12" ht="30">
      <c r="B54" s="47" t="s">
        <v>4678</v>
      </c>
      <c r="C54" s="41" t="s">
        <v>2983</v>
      </c>
      <c r="D54" s="60"/>
    </row>
    <row r="55" spans="2:12">
      <c r="B55" s="49" t="s">
        <v>4679</v>
      </c>
      <c r="C55" s="41" t="s">
        <v>2985</v>
      </c>
      <c r="D55" s="60"/>
    </row>
    <row r="56" spans="2:12">
      <c r="B56" s="49" t="s">
        <v>4680</v>
      </c>
      <c r="C56" s="41" t="s">
        <v>2987</v>
      </c>
      <c r="D56" s="63"/>
    </row>
    <row r="57" spans="2:12">
      <c r="B57" s="47" t="s">
        <v>4681</v>
      </c>
      <c r="C57" s="44" t="s">
        <v>2878</v>
      </c>
      <c r="D57" s="46"/>
    </row>
    <row r="58" spans="2:12">
      <c r="B58" s="49" t="s">
        <v>4682</v>
      </c>
      <c r="C58" s="41" t="s">
        <v>2989</v>
      </c>
      <c r="D58" s="60"/>
    </row>
    <row r="59" spans="2:12">
      <c r="B59" s="49" t="s">
        <v>4643</v>
      </c>
      <c r="C59" s="41" t="s">
        <v>2991</v>
      </c>
      <c r="D59" s="60"/>
    </row>
    <row r="61" spans="2:12">
      <c r="J61" s="13" t="str">
        <f>Show!$B$118&amp;Show!$B$118&amp;"S.25.01.22.02 Rows {"&amp;COLUMN($C$1)&amp;"}"</f>
        <v>!!S.25.01.22.02 Rows {3}</v>
      </c>
      <c r="K61" s="13" t="str">
        <f>Show!$B$118&amp;Show!$B$118&amp;"S.25.01.22.02 Columns {"&amp;COLUMN($D$1)&amp;"}"</f>
        <v>!!S.25.01.22.02 Columns {4}</v>
      </c>
    </row>
    <row r="63" spans="2:12" ht="18.75">
      <c r="B63" s="88" t="s">
        <v>4692</v>
      </c>
      <c r="C63" s="87"/>
      <c r="D63" s="87"/>
      <c r="E63" s="87"/>
      <c r="F63" s="87"/>
      <c r="G63" s="87"/>
      <c r="H63" s="87"/>
      <c r="I63" s="87"/>
      <c r="J63" s="87"/>
      <c r="K63" s="87"/>
      <c r="L63" s="87"/>
    </row>
    <row r="67" spans="2:11">
      <c r="D67" s="89" t="s">
        <v>2877</v>
      </c>
    </row>
    <row r="68" spans="2:11">
      <c r="D68" s="91"/>
    </row>
    <row r="69" spans="2:11">
      <c r="D69" s="55" t="s">
        <v>4687</v>
      </c>
    </row>
    <row r="70" spans="2:11">
      <c r="D70" s="45" t="s">
        <v>3236</v>
      </c>
      <c r="J70" s="13" t="str">
        <f>Show!$B$118&amp;"S.25.01.22.03 Rows {"&amp;COLUMN($C$1)&amp;"}"&amp;"@ForceFilingCode:true"</f>
        <v>!S.25.01.22.03 Rows {3}@ForceFilingCode:true</v>
      </c>
      <c r="K70" s="13" t="str">
        <f>Show!$B$118&amp;"S.25.01.22.03 Columns {"&amp;COLUMN($D$1)&amp;"}"</f>
        <v>!S.25.01.22.03 Columns {4}</v>
      </c>
    </row>
    <row r="71" spans="2:11">
      <c r="B71" s="43" t="s">
        <v>2880</v>
      </c>
      <c r="C71" s="44" t="s">
        <v>2878</v>
      </c>
      <c r="D71" s="46"/>
    </row>
    <row r="72" spans="2:11">
      <c r="B72" s="47" t="s">
        <v>4628</v>
      </c>
      <c r="C72" s="41" t="s">
        <v>2887</v>
      </c>
      <c r="D72" s="51"/>
    </row>
    <row r="73" spans="2:11">
      <c r="B73" s="47" t="s">
        <v>4629</v>
      </c>
      <c r="C73" s="41" t="s">
        <v>2889</v>
      </c>
      <c r="D73" s="51"/>
    </row>
    <row r="74" spans="2:11">
      <c r="B74" s="47" t="s">
        <v>4630</v>
      </c>
      <c r="C74" s="41" t="s">
        <v>3078</v>
      </c>
      <c r="D74" s="51"/>
    </row>
    <row r="76" spans="2:11">
      <c r="J76" s="13" t="str">
        <f>Show!$B$118&amp;Show!$B$118&amp;"S.25.01.22.03 Rows {"&amp;COLUMN($C$1)&amp;"}"</f>
        <v>!!S.25.01.22.03 Rows {3}</v>
      </c>
      <c r="K76" s="13" t="str">
        <f>Show!$B$118&amp;Show!$B$118&amp;"S.25.01.22.03 Columns {"&amp;COLUMN($D$1)&amp;"}"</f>
        <v>!!S.25.01.22.03 Columns {4}</v>
      </c>
    </row>
  </sheetData>
  <sheetProtection sheet="1" objects="1" scenarios="1"/>
  <mergeCells count="8">
    <mergeCell ref="B63:L63"/>
    <mergeCell ref="D67:D68"/>
    <mergeCell ref="B2:O2"/>
    <mergeCell ref="B5:L5"/>
    <mergeCell ref="D9:E10"/>
    <mergeCell ref="B25:L25"/>
    <mergeCell ref="D29:D30"/>
    <mergeCell ref="D31:D33"/>
  </mergeCells>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8869A-45C4-4A66-A64C-56ED97AA14A6}">
  <sheetPr codeName="Blad123"/>
  <dimension ref="B2:O115"/>
  <sheetViews>
    <sheetView showGridLines="0" workbookViewId="0"/>
  </sheetViews>
  <sheetFormatPr defaultRowHeight="15"/>
  <cols>
    <col min="2" max="2" width="70.5703125" bestFit="1" customWidth="1"/>
    <col min="4" max="5" width="15.7109375" customWidth="1"/>
  </cols>
  <sheetData>
    <row r="2" spans="2:15" ht="23.25">
      <c r="B2" s="86" t="s">
        <v>687</v>
      </c>
      <c r="C2" s="87"/>
      <c r="D2" s="87"/>
      <c r="E2" s="87"/>
      <c r="F2" s="87"/>
      <c r="G2" s="87"/>
      <c r="H2" s="87"/>
      <c r="I2" s="87"/>
      <c r="J2" s="87"/>
      <c r="K2" s="87"/>
      <c r="L2" s="87"/>
      <c r="M2" s="87"/>
      <c r="N2" s="87"/>
      <c r="O2" s="87"/>
    </row>
    <row r="5" spans="2:15" ht="18.75">
      <c r="B5" s="88" t="s">
        <v>4693</v>
      </c>
      <c r="C5" s="87"/>
      <c r="D5" s="87"/>
      <c r="E5" s="87"/>
      <c r="F5" s="87"/>
      <c r="G5" s="87"/>
      <c r="H5" s="87"/>
      <c r="I5" s="87"/>
      <c r="J5" s="87"/>
      <c r="K5" s="87"/>
      <c r="L5" s="87"/>
    </row>
    <row r="7" spans="2:15">
      <c r="B7" t="s">
        <v>3110</v>
      </c>
      <c r="J7" s="13" t="str">
        <f>Show!$B$119&amp;"SR.25.01.01.01 Table label {"&amp;COLUMN($C$1)&amp;"}"</f>
        <v>!SR.25.01.01.01 Table label {3}</v>
      </c>
      <c r="K7" s="13" t="str">
        <f>Show!$B$119&amp;"SR.25.01.01.01 Table value {"&amp;COLUMN($D$1)&amp;"}"</f>
        <v>!SR.25.01.01.01 Table value {4}</v>
      </c>
    </row>
    <row r="8" spans="2:15">
      <c r="B8" t="s">
        <v>3111</v>
      </c>
    </row>
    <row r="9" spans="2:15">
      <c r="B9" s="40" t="s">
        <v>4622</v>
      </c>
      <c r="C9" s="53" t="s">
        <v>3113</v>
      </c>
      <c r="D9" s="51"/>
    </row>
    <row r="10" spans="2:15">
      <c r="B10" s="40" t="s">
        <v>3788</v>
      </c>
      <c r="C10" s="53" t="s">
        <v>3115</v>
      </c>
      <c r="D10" s="51"/>
    </row>
    <row r="11" spans="2:15">
      <c r="B11" s="40" t="s">
        <v>3114</v>
      </c>
      <c r="C11" s="53" t="s">
        <v>3323</v>
      </c>
      <c r="D11" s="50"/>
    </row>
    <row r="12" spans="2:15">
      <c r="J12" s="13" t="str">
        <f>Show!$B$119&amp;Show!$B$119&amp;"SR.25.01.01.01 Table label {"&amp;COLUMN($C$1)&amp;"}"</f>
        <v>!!SR.25.01.01.01 Table label {3}</v>
      </c>
      <c r="K12" s="13" t="str">
        <f>Show!$B$119&amp;Show!$B$119&amp;"SR.25.01.01.01 Table value {"&amp;COLUMN($D$1)&amp;"}"</f>
        <v>!!SR.25.01.01.01 Table value {4}</v>
      </c>
    </row>
    <row r="14" spans="2:15">
      <c r="D14" s="92" t="s">
        <v>2877</v>
      </c>
      <c r="E14" s="94"/>
    </row>
    <row r="15" spans="2:15">
      <c r="D15" s="95"/>
      <c r="E15" s="97"/>
    </row>
    <row r="16" spans="2:15" ht="45">
      <c r="D16" s="55" t="s">
        <v>4623</v>
      </c>
      <c r="E16" s="55" t="s">
        <v>4624</v>
      </c>
    </row>
    <row r="17" spans="2:12">
      <c r="D17" s="45" t="s">
        <v>3225</v>
      </c>
      <c r="E17" s="45" t="s">
        <v>3223</v>
      </c>
      <c r="J17" s="13" t="str">
        <f>Show!$B$119&amp;"SR.25.01.01.01 Rows {"&amp;COLUMN($C$1)&amp;"}"&amp;"@ForceFilingCode:true"</f>
        <v>!SR.25.01.01.01 Rows {3}@ForceFilingCode:true</v>
      </c>
      <c r="K17" s="13" t="str">
        <f>Show!$B$119&amp;"SR.25.01.01.01 Columns {"&amp;COLUMN($D$1)&amp;"}"</f>
        <v>!SR.25.01.01.01 Columns {4}</v>
      </c>
    </row>
    <row r="18" spans="2:12">
      <c r="B18" s="43" t="s">
        <v>2880</v>
      </c>
      <c r="C18" s="44" t="s">
        <v>2878</v>
      </c>
      <c r="D18" s="56"/>
      <c r="E18" s="57"/>
    </row>
    <row r="19" spans="2:12">
      <c r="B19" s="47" t="s">
        <v>4626</v>
      </c>
      <c r="C19" s="41" t="s">
        <v>2883</v>
      </c>
      <c r="D19" s="60"/>
      <c r="E19" s="60"/>
    </row>
    <row r="20" spans="2:12">
      <c r="B20" s="47" t="s">
        <v>4627</v>
      </c>
      <c r="C20" s="41" t="s">
        <v>2885</v>
      </c>
      <c r="D20" s="60"/>
      <c r="E20" s="60"/>
    </row>
    <row r="21" spans="2:12">
      <c r="B21" s="47" t="s">
        <v>4628</v>
      </c>
      <c r="C21" s="41" t="s">
        <v>2887</v>
      </c>
      <c r="D21" s="60"/>
      <c r="E21" s="60"/>
    </row>
    <row r="22" spans="2:12">
      <c r="B22" s="47" t="s">
        <v>4629</v>
      </c>
      <c r="C22" s="41" t="s">
        <v>2889</v>
      </c>
      <c r="D22" s="60"/>
      <c r="E22" s="60"/>
    </row>
    <row r="23" spans="2:12">
      <c r="B23" s="47" t="s">
        <v>4630</v>
      </c>
      <c r="C23" s="41" t="s">
        <v>3078</v>
      </c>
      <c r="D23" s="60"/>
      <c r="E23" s="60"/>
    </row>
    <row r="24" spans="2:12">
      <c r="B24" s="47" t="s">
        <v>4631</v>
      </c>
      <c r="C24" s="41" t="s">
        <v>2891</v>
      </c>
      <c r="D24" s="60"/>
      <c r="E24" s="60"/>
    </row>
    <row r="25" spans="2:12">
      <c r="B25" s="47" t="s">
        <v>4632</v>
      </c>
      <c r="C25" s="41" t="s">
        <v>2893</v>
      </c>
      <c r="D25" s="60"/>
      <c r="E25" s="60"/>
    </row>
    <row r="26" spans="2:12">
      <c r="B26" s="47" t="s">
        <v>4633</v>
      </c>
      <c r="C26" s="41" t="s">
        <v>2899</v>
      </c>
      <c r="D26" s="60"/>
      <c r="E26" s="60"/>
    </row>
    <row r="28" spans="2:12">
      <c r="J28" s="13" t="str">
        <f>Show!$B$119&amp;Show!$B$119&amp;"SR.25.01.01.01 Rows {"&amp;COLUMN($C$1)&amp;"}"</f>
        <v>!!SR.25.01.01.01 Rows {3}</v>
      </c>
      <c r="K28" s="13" t="str">
        <f>Show!$B$119&amp;Show!$B$119&amp;"SR.25.01.01.01 Columns {"&amp;COLUMN($E$1)&amp;"}"</f>
        <v>!!SR.25.01.01.01 Columns {5}</v>
      </c>
    </row>
    <row r="30" spans="2:12" ht="18.75">
      <c r="B30" s="88" t="s">
        <v>4694</v>
      </c>
      <c r="C30" s="87"/>
      <c r="D30" s="87"/>
      <c r="E30" s="87"/>
      <c r="F30" s="87"/>
      <c r="G30" s="87"/>
      <c r="H30" s="87"/>
      <c r="I30" s="87"/>
      <c r="J30" s="87"/>
      <c r="K30" s="87"/>
      <c r="L30" s="87"/>
    </row>
    <row r="32" spans="2:12">
      <c r="B32" t="s">
        <v>3110</v>
      </c>
      <c r="J32" s="13" t="str">
        <f>Show!$B$119&amp;"SR.25.01.01.02 Table label {"&amp;COLUMN($C$1)&amp;"}"</f>
        <v>!SR.25.01.01.02 Table label {3}</v>
      </c>
      <c r="K32" s="13" t="str">
        <f>Show!$B$119&amp;"SR.25.01.01.02 Table value {"&amp;COLUMN($D$1)&amp;"}"</f>
        <v>!SR.25.01.01.02 Table value {4}</v>
      </c>
    </row>
    <row r="33" spans="2:11">
      <c r="B33" t="s">
        <v>3111</v>
      </c>
    </row>
    <row r="34" spans="2:11">
      <c r="B34" s="40" t="s">
        <v>4622</v>
      </c>
      <c r="C34" s="53" t="s">
        <v>3113</v>
      </c>
      <c r="D34" s="51"/>
    </row>
    <row r="35" spans="2:11">
      <c r="B35" s="40" t="s">
        <v>3788</v>
      </c>
      <c r="C35" s="53" t="s">
        <v>3115</v>
      </c>
      <c r="D35" s="51"/>
    </row>
    <row r="36" spans="2:11">
      <c r="B36" s="40" t="s">
        <v>3114</v>
      </c>
      <c r="C36" s="53" t="s">
        <v>3323</v>
      </c>
      <c r="D36" s="50"/>
    </row>
    <row r="37" spans="2:11">
      <c r="J37" s="13" t="str">
        <f>Show!$B$119&amp;Show!$B$119&amp;"SR.25.01.01.02 Table label {"&amp;COLUMN($C$1)&amp;"}"</f>
        <v>!!SR.25.01.01.02 Table label {3}</v>
      </c>
      <c r="K37" s="13" t="str">
        <f>Show!$B$119&amp;Show!$B$119&amp;"SR.25.01.01.02 Table value {"&amp;COLUMN($D$1)&amp;"}"</f>
        <v>!!SR.25.01.01.02 Table value {4}</v>
      </c>
    </row>
    <row r="39" spans="2:11">
      <c r="D39" s="89" t="s">
        <v>2877</v>
      </c>
    </row>
    <row r="40" spans="2:11">
      <c r="D40" s="91"/>
    </row>
    <row r="41" spans="2:11">
      <c r="D41" s="89" t="s">
        <v>4635</v>
      </c>
    </row>
    <row r="42" spans="2:11">
      <c r="D42" s="91"/>
    </row>
    <row r="43" spans="2:11">
      <c r="D43" s="45" t="s">
        <v>3239</v>
      </c>
      <c r="J43" s="13" t="str">
        <f>Show!$B$119&amp;"SR.25.01.01.02 Rows {"&amp;COLUMN($C$1)&amp;"}"&amp;"@ForceFilingCode:true"</f>
        <v>!SR.25.01.01.02 Rows {3}@ForceFilingCode:true</v>
      </c>
      <c r="K43" s="13" t="str">
        <f>Show!$B$119&amp;"SR.25.01.01.02 Columns {"&amp;COLUMN($D$1)&amp;"}"</f>
        <v>!SR.25.01.01.02 Columns {4}</v>
      </c>
    </row>
    <row r="44" spans="2:11">
      <c r="B44" s="43" t="s">
        <v>2880</v>
      </c>
      <c r="C44" s="44" t="s">
        <v>2878</v>
      </c>
      <c r="D44" s="46"/>
    </row>
    <row r="45" spans="2:11">
      <c r="B45" s="47" t="s">
        <v>4637</v>
      </c>
      <c r="C45" s="41" t="s">
        <v>2905</v>
      </c>
      <c r="D45" s="60"/>
    </row>
    <row r="46" spans="2:11">
      <c r="B46" s="47" t="s">
        <v>4638</v>
      </c>
      <c r="C46" s="41" t="s">
        <v>2907</v>
      </c>
      <c r="D46" s="60"/>
    </row>
    <row r="47" spans="2:11">
      <c r="B47" s="47" t="s">
        <v>4639</v>
      </c>
      <c r="C47" s="41" t="s">
        <v>2909</v>
      </c>
      <c r="D47" s="60"/>
    </row>
    <row r="48" spans="2:11">
      <c r="B48" s="47" t="s">
        <v>711</v>
      </c>
      <c r="C48" s="41" t="s">
        <v>2919</v>
      </c>
      <c r="D48" s="60"/>
    </row>
    <row r="49" spans="2:12">
      <c r="B49" s="49" t="s">
        <v>4651</v>
      </c>
      <c r="C49" s="41" t="s">
        <v>2971</v>
      </c>
      <c r="D49" s="60"/>
    </row>
    <row r="51" spans="2:12">
      <c r="J51" s="13" t="str">
        <f>Show!$B$119&amp;Show!$B$119&amp;"SR.25.01.01.02 Rows {"&amp;COLUMN($C$1)&amp;"}"</f>
        <v>!!SR.25.01.01.02 Rows {3}</v>
      </c>
      <c r="K51" s="13" t="str">
        <f>Show!$B$119&amp;Show!$B$119&amp;"SR.25.01.01.02 Columns {"&amp;COLUMN($D$1)&amp;"}"</f>
        <v>!!SR.25.01.01.02 Columns {4}</v>
      </c>
    </row>
    <row r="53" spans="2:12" ht="18.75">
      <c r="B53" s="88" t="s">
        <v>4695</v>
      </c>
      <c r="C53" s="87"/>
      <c r="D53" s="87"/>
      <c r="E53" s="87"/>
      <c r="F53" s="87"/>
      <c r="G53" s="87"/>
      <c r="H53" s="87"/>
      <c r="I53" s="87"/>
      <c r="J53" s="87"/>
      <c r="K53" s="87"/>
      <c r="L53" s="87"/>
    </row>
    <row r="55" spans="2:12">
      <c r="B55" t="s">
        <v>3110</v>
      </c>
      <c r="J55" s="13" t="str">
        <f>Show!$B$119&amp;"SR.25.01.01.03 Table label {"&amp;COLUMN($C$1)&amp;"}"</f>
        <v>!SR.25.01.01.03 Table label {3}</v>
      </c>
      <c r="K55" s="13" t="str">
        <f>Show!$B$119&amp;"SR.25.01.01.03 Table value {"&amp;COLUMN($D$1)&amp;"}"</f>
        <v>!SR.25.01.01.03 Table value {4}</v>
      </c>
    </row>
    <row r="56" spans="2:12">
      <c r="B56" t="s">
        <v>3111</v>
      </c>
    </row>
    <row r="57" spans="2:12">
      <c r="B57" s="40" t="s">
        <v>4622</v>
      </c>
      <c r="C57" s="53" t="s">
        <v>3113</v>
      </c>
      <c r="D57" s="51"/>
    </row>
    <row r="58" spans="2:12">
      <c r="B58" s="40" t="s">
        <v>3788</v>
      </c>
      <c r="C58" s="53" t="s">
        <v>3115</v>
      </c>
      <c r="D58" s="51"/>
    </row>
    <row r="59" spans="2:12">
      <c r="B59" s="40" t="s">
        <v>3114</v>
      </c>
      <c r="C59" s="53" t="s">
        <v>3323</v>
      </c>
      <c r="D59" s="50"/>
    </row>
    <row r="60" spans="2:12">
      <c r="J60" s="13" t="str">
        <f>Show!$B$119&amp;Show!$B$119&amp;"SR.25.01.01.03 Table label {"&amp;COLUMN($C$1)&amp;"}"</f>
        <v>!!SR.25.01.01.03 Table label {3}</v>
      </c>
      <c r="K60" s="13" t="str">
        <f>Show!$B$119&amp;Show!$B$119&amp;"SR.25.01.01.03 Table value {"&amp;COLUMN($D$1)&amp;"}"</f>
        <v>!!SR.25.01.01.03 Table value {4}</v>
      </c>
    </row>
    <row r="62" spans="2:12">
      <c r="D62" s="89" t="s">
        <v>2877</v>
      </c>
    </row>
    <row r="63" spans="2:12">
      <c r="D63" s="91"/>
    </row>
    <row r="64" spans="2:12">
      <c r="D64" s="55" t="s">
        <v>4653</v>
      </c>
    </row>
    <row r="65" spans="2:12">
      <c r="D65" s="45" t="s">
        <v>4654</v>
      </c>
      <c r="J65" s="13" t="str">
        <f>Show!$B$119&amp;"SR.25.01.01.03 Rows {"&amp;COLUMN($C$1)&amp;"}"&amp;"@ForceFilingCode:true"</f>
        <v>!SR.25.01.01.03 Rows {3}@ForceFilingCode:true</v>
      </c>
      <c r="K65" s="13" t="str">
        <f>Show!$B$119&amp;"SR.25.01.01.03 Columns {"&amp;COLUMN($D$1)&amp;"}"</f>
        <v>!SR.25.01.01.03 Columns {4}</v>
      </c>
    </row>
    <row r="66" spans="2:12">
      <c r="B66" s="43" t="s">
        <v>2880</v>
      </c>
      <c r="C66" s="44" t="s">
        <v>2878</v>
      </c>
      <c r="D66" s="46"/>
    </row>
    <row r="67" spans="2:12">
      <c r="B67" s="47" t="s">
        <v>2562</v>
      </c>
      <c r="C67" s="41" t="s">
        <v>2995</v>
      </c>
      <c r="D67" s="51"/>
    </row>
    <row r="69" spans="2:12">
      <c r="J69" s="13" t="str">
        <f>Show!$B$119&amp;Show!$B$119&amp;"SR.25.01.01.03 Rows {"&amp;COLUMN($C$1)&amp;"}"</f>
        <v>!!SR.25.01.01.03 Rows {3}</v>
      </c>
      <c r="K69" s="13" t="str">
        <f>Show!$B$119&amp;Show!$B$119&amp;"SR.25.01.01.03 Columns {"&amp;COLUMN($D$1)&amp;"}"</f>
        <v>!!SR.25.01.01.03 Columns {4}</v>
      </c>
    </row>
    <row r="71" spans="2:12" ht="18.75">
      <c r="B71" s="88" t="s">
        <v>4696</v>
      </c>
      <c r="C71" s="87"/>
      <c r="D71" s="87"/>
      <c r="E71" s="87"/>
      <c r="F71" s="87"/>
      <c r="G71" s="87"/>
      <c r="H71" s="87"/>
      <c r="I71" s="87"/>
      <c r="J71" s="87"/>
      <c r="K71" s="87"/>
      <c r="L71" s="87"/>
    </row>
    <row r="73" spans="2:12">
      <c r="B73" t="s">
        <v>3110</v>
      </c>
      <c r="J73" s="13" t="str">
        <f>Show!$B$119&amp;"SR.25.01.01.04 Table label {"&amp;COLUMN($C$1)&amp;"}"</f>
        <v>!SR.25.01.01.04 Table label {3}</v>
      </c>
      <c r="K73" s="13" t="str">
        <f>Show!$B$119&amp;"SR.25.01.01.04 Table value {"&amp;COLUMN($D$1)&amp;"}"</f>
        <v>!SR.25.01.01.04 Table value {4}</v>
      </c>
    </row>
    <row r="74" spans="2:12">
      <c r="B74" t="s">
        <v>3111</v>
      </c>
    </row>
    <row r="75" spans="2:12">
      <c r="B75" s="40" t="s">
        <v>4622</v>
      </c>
      <c r="C75" s="53" t="s">
        <v>3113</v>
      </c>
      <c r="D75" s="51"/>
    </row>
    <row r="76" spans="2:12">
      <c r="B76" s="40" t="s">
        <v>3788</v>
      </c>
      <c r="C76" s="53" t="s">
        <v>3115</v>
      </c>
      <c r="D76" s="51"/>
    </row>
    <row r="77" spans="2:12">
      <c r="B77" s="40" t="s">
        <v>3114</v>
      </c>
      <c r="C77" s="53" t="s">
        <v>3323</v>
      </c>
      <c r="D77" s="50"/>
    </row>
    <row r="78" spans="2:12">
      <c r="J78" s="13" t="str">
        <f>Show!$B$119&amp;Show!$B$119&amp;"SR.25.01.01.04 Table label {"&amp;COLUMN($C$1)&amp;"}"</f>
        <v>!!SR.25.01.01.04 Table label {3}</v>
      </c>
      <c r="K78" s="13" t="str">
        <f>Show!$B$119&amp;Show!$B$119&amp;"SR.25.01.01.04 Table value {"&amp;COLUMN($D$1)&amp;"}"</f>
        <v>!!SR.25.01.01.04 Table value {4}</v>
      </c>
    </row>
    <row r="80" spans="2:12">
      <c r="D80" s="92" t="s">
        <v>2877</v>
      </c>
      <c r="E80" s="94"/>
    </row>
    <row r="81" spans="2:12">
      <c r="D81" s="95"/>
      <c r="E81" s="97"/>
    </row>
    <row r="82" spans="2:12">
      <c r="D82" s="89" t="s">
        <v>4656</v>
      </c>
      <c r="E82" s="89" t="s">
        <v>4657</v>
      </c>
    </row>
    <row r="83" spans="2:12">
      <c r="D83" s="91"/>
      <c r="E83" s="91"/>
    </row>
    <row r="84" spans="2:12">
      <c r="D84" s="45" t="s">
        <v>3241</v>
      </c>
      <c r="E84" s="45" t="s">
        <v>3243</v>
      </c>
      <c r="J84" s="13" t="str">
        <f>Show!$B$119&amp;"SR.25.01.01.04 Rows {"&amp;COLUMN($C$1)&amp;"}"&amp;"@ForceFilingCode:true"</f>
        <v>!SR.25.01.01.04 Rows {3}@ForceFilingCode:true</v>
      </c>
      <c r="K84" s="13" t="str">
        <f>Show!$B$119&amp;"SR.25.01.01.04 Columns {"&amp;COLUMN($D$1)&amp;"}"</f>
        <v>!SR.25.01.01.04 Columns {4}</v>
      </c>
    </row>
    <row r="85" spans="2:12">
      <c r="B85" s="43" t="s">
        <v>2880</v>
      </c>
      <c r="C85" s="44" t="s">
        <v>2878</v>
      </c>
      <c r="D85" s="56"/>
      <c r="E85" s="57"/>
    </row>
    <row r="86" spans="2:12">
      <c r="B86" s="47" t="s">
        <v>4658</v>
      </c>
      <c r="C86" s="41" t="s">
        <v>2997</v>
      </c>
      <c r="D86" s="60"/>
      <c r="E86" s="60"/>
    </row>
    <row r="87" spans="2:12">
      <c r="B87" s="49" t="s">
        <v>4659</v>
      </c>
      <c r="C87" s="41" t="s">
        <v>2999</v>
      </c>
      <c r="D87" s="60"/>
      <c r="E87" s="60"/>
    </row>
    <row r="88" spans="2:12">
      <c r="B88" s="49" t="s">
        <v>4660</v>
      </c>
      <c r="C88" s="41" t="s">
        <v>3001</v>
      </c>
      <c r="D88" s="60"/>
      <c r="E88" s="60"/>
    </row>
    <row r="89" spans="2:12">
      <c r="B89" s="47" t="s">
        <v>4661</v>
      </c>
      <c r="C89" s="41" t="s">
        <v>3003</v>
      </c>
      <c r="D89" s="60"/>
      <c r="E89" s="60"/>
    </row>
    <row r="91" spans="2:12">
      <c r="J91" s="13" t="str">
        <f>Show!$B$119&amp;Show!$B$119&amp;"SR.25.01.01.04 Rows {"&amp;COLUMN($C$1)&amp;"}"</f>
        <v>!!SR.25.01.01.04 Rows {3}</v>
      </c>
      <c r="K91" s="13" t="str">
        <f>Show!$B$119&amp;Show!$B$119&amp;"SR.25.01.01.04 Columns {"&amp;COLUMN($E$1)&amp;"}"</f>
        <v>!!SR.25.01.01.04 Columns {5}</v>
      </c>
    </row>
    <row r="93" spans="2:12" ht="18.75">
      <c r="B93" s="88" t="s">
        <v>4697</v>
      </c>
      <c r="C93" s="87"/>
      <c r="D93" s="87"/>
      <c r="E93" s="87"/>
      <c r="F93" s="87"/>
      <c r="G93" s="87"/>
      <c r="H93" s="87"/>
      <c r="I93" s="87"/>
      <c r="J93" s="87"/>
      <c r="K93" s="87"/>
      <c r="L93" s="87"/>
    </row>
    <row r="95" spans="2:12">
      <c r="B95" t="s">
        <v>3110</v>
      </c>
      <c r="J95" s="13" t="str">
        <f>Show!$B$119&amp;"SR.25.01.01.05 Table label {"&amp;COLUMN($C$1)&amp;"}"</f>
        <v>!SR.25.01.01.05 Table label {3}</v>
      </c>
      <c r="K95" s="13" t="str">
        <f>Show!$B$119&amp;"SR.25.01.01.05 Table value {"&amp;COLUMN($D$1)&amp;"}"</f>
        <v>!SR.25.01.01.05 Table value {4}</v>
      </c>
    </row>
    <row r="96" spans="2:12">
      <c r="B96" t="s">
        <v>3111</v>
      </c>
    </row>
    <row r="97" spans="2:11">
      <c r="B97" s="40" t="s">
        <v>4622</v>
      </c>
      <c r="C97" s="53" t="s">
        <v>3113</v>
      </c>
      <c r="D97" s="51"/>
    </row>
    <row r="98" spans="2:11">
      <c r="B98" s="40" t="s">
        <v>3788</v>
      </c>
      <c r="C98" s="53" t="s">
        <v>3115</v>
      </c>
      <c r="D98" s="51"/>
    </row>
    <row r="99" spans="2:11">
      <c r="B99" s="40" t="s">
        <v>3114</v>
      </c>
      <c r="C99" s="53" t="s">
        <v>3323</v>
      </c>
      <c r="D99" s="50"/>
    </row>
    <row r="100" spans="2:11">
      <c r="J100" s="13" t="str">
        <f>Show!$B$119&amp;Show!$B$119&amp;"SR.25.01.01.05 Table label {"&amp;COLUMN($C$1)&amp;"}"</f>
        <v>!!SR.25.01.01.05 Table label {3}</v>
      </c>
      <c r="K100" s="13" t="str">
        <f>Show!$B$119&amp;Show!$B$119&amp;"SR.25.01.01.05 Table value {"&amp;COLUMN($D$1)&amp;"}"</f>
        <v>!!SR.25.01.01.05 Table value {4}</v>
      </c>
    </row>
    <row r="102" spans="2:11">
      <c r="D102" s="89" t="s">
        <v>2877</v>
      </c>
    </row>
    <row r="103" spans="2:11">
      <c r="D103" s="91"/>
    </row>
    <row r="104" spans="2:11">
      <c r="D104" s="89" t="s">
        <v>4663</v>
      </c>
    </row>
    <row r="105" spans="2:11">
      <c r="D105" s="91"/>
    </row>
    <row r="106" spans="2:11">
      <c r="D106" s="45" t="s">
        <v>3375</v>
      </c>
      <c r="J106" s="13" t="str">
        <f>Show!$B$119&amp;"SR.25.01.01.05 Rows {"&amp;COLUMN($C$1)&amp;"}"&amp;"@ForceFilingCode:true"</f>
        <v>!SR.25.01.01.05 Rows {3}@ForceFilingCode:true</v>
      </c>
      <c r="K106" s="13" t="str">
        <f>Show!$B$119&amp;"SR.25.01.01.05 Columns {"&amp;COLUMN($D$1)&amp;"}"</f>
        <v>!SR.25.01.01.05 Columns {4}</v>
      </c>
    </row>
    <row r="107" spans="2:11">
      <c r="B107" s="43" t="s">
        <v>2880</v>
      </c>
      <c r="C107" s="44" t="s">
        <v>2878</v>
      </c>
      <c r="D107" s="46"/>
    </row>
    <row r="108" spans="2:11">
      <c r="B108" s="47" t="s">
        <v>4663</v>
      </c>
      <c r="C108" s="41" t="s">
        <v>3005</v>
      </c>
      <c r="D108" s="60"/>
    </row>
    <row r="109" spans="2:11">
      <c r="B109" s="49" t="s">
        <v>4664</v>
      </c>
      <c r="C109" s="41" t="s">
        <v>3007</v>
      </c>
      <c r="D109" s="60"/>
    </row>
    <row r="110" spans="2:11">
      <c r="B110" s="49" t="s">
        <v>4665</v>
      </c>
      <c r="C110" s="41" t="s">
        <v>3009</v>
      </c>
      <c r="D110" s="60"/>
    </row>
    <row r="111" spans="2:11">
      <c r="B111" s="49" t="s">
        <v>4666</v>
      </c>
      <c r="C111" s="41" t="s">
        <v>3011</v>
      </c>
      <c r="D111" s="60"/>
    </row>
    <row r="112" spans="2:11">
      <c r="B112" s="49" t="s">
        <v>4667</v>
      </c>
      <c r="C112" s="41" t="s">
        <v>3013</v>
      </c>
      <c r="D112" s="60"/>
    </row>
    <row r="113" spans="2:11">
      <c r="B113" s="49" t="s">
        <v>4668</v>
      </c>
      <c r="C113" s="41" t="s">
        <v>3015</v>
      </c>
      <c r="D113" s="60"/>
    </row>
    <row r="115" spans="2:11">
      <c r="J115" s="13" t="str">
        <f>Show!$B$119&amp;Show!$B$119&amp;"SR.25.01.01.05 Rows {"&amp;COLUMN($C$1)&amp;"}"</f>
        <v>!!SR.25.01.01.05 Rows {3}</v>
      </c>
      <c r="K115" s="13" t="str">
        <f>Show!$B$119&amp;Show!$B$119&amp;"SR.25.01.01.05 Columns {"&amp;COLUMN($D$1)&amp;"}"</f>
        <v>!!SR.25.01.01.05 Columns {4}</v>
      </c>
    </row>
  </sheetData>
  <sheetProtection sheet="1" objects="1" scenarios="1"/>
  <mergeCells count="15">
    <mergeCell ref="D41:D42"/>
    <mergeCell ref="B2:O2"/>
    <mergeCell ref="B5:L5"/>
    <mergeCell ref="D14:E15"/>
    <mergeCell ref="B30:L30"/>
    <mergeCell ref="D39:D40"/>
    <mergeCell ref="B93:L93"/>
    <mergeCell ref="D102:D103"/>
    <mergeCell ref="D104:D105"/>
    <mergeCell ref="B53:L53"/>
    <mergeCell ref="D62:D63"/>
    <mergeCell ref="B71:L71"/>
    <mergeCell ref="D80:E81"/>
    <mergeCell ref="D82:D83"/>
    <mergeCell ref="E82:E83"/>
  </mergeCells>
  <dataValidations count="3">
    <dataValidation type="list" errorStyle="warning" allowBlank="1" showInputMessage="1" showErrorMessage="1" sqref="D9 D34 D57 D75 D97" xr:uid="{571A3338-DA70-405A-B780-E0DE5E9EAC93}">
      <formula1>hier_AO_1</formula1>
    </dataValidation>
    <dataValidation type="list" errorStyle="warning" allowBlank="1" showInputMessage="1" showErrorMessage="1" sqref="D10 D35 D58 D76 D98" xr:uid="{F7EE520A-9176-4A14-B88E-8D221EC09BA2}">
      <formula1>hier_PU_20</formula1>
    </dataValidation>
    <dataValidation type="list" errorStyle="warning" allowBlank="1" showInputMessage="1" showErrorMessage="1" sqref="D67" xr:uid="{368BB2F5-23D4-4EE1-AFEE-AE299F32B7F3}">
      <formula1>hier_AP_24</formula1>
    </dataValidation>
  </dataValidations>
  <pageMargins left="0.7" right="0.7" top="0.75" bottom="0.75" header="0.3" footer="0.3"/>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7CC50-D414-4AFE-896E-61F386F2A4F0}">
  <sheetPr codeName="Blad124"/>
  <dimension ref="B2:O51"/>
  <sheetViews>
    <sheetView showGridLines="0" workbookViewId="0"/>
  </sheetViews>
  <sheetFormatPr defaultRowHeight="15"/>
  <cols>
    <col min="2" max="2" width="61.85546875" bestFit="1" customWidth="1"/>
    <col min="4" max="5" width="15.7109375" customWidth="1"/>
  </cols>
  <sheetData>
    <row r="2" spans="2:15" ht="23.25">
      <c r="B2" s="86" t="s">
        <v>689</v>
      </c>
      <c r="C2" s="87"/>
      <c r="D2" s="87"/>
      <c r="E2" s="87"/>
      <c r="F2" s="87"/>
      <c r="G2" s="87"/>
      <c r="H2" s="87"/>
      <c r="I2" s="87"/>
      <c r="J2" s="87"/>
      <c r="K2" s="87"/>
      <c r="L2" s="87"/>
      <c r="M2" s="87"/>
      <c r="N2" s="87"/>
      <c r="O2" s="87"/>
    </row>
    <row r="5" spans="2:15" ht="18.75">
      <c r="B5" s="88" t="s">
        <v>4698</v>
      </c>
      <c r="C5" s="87"/>
      <c r="D5" s="87"/>
      <c r="E5" s="87"/>
      <c r="F5" s="87"/>
      <c r="G5" s="87"/>
      <c r="H5" s="87"/>
      <c r="I5" s="87"/>
      <c r="J5" s="87"/>
      <c r="K5" s="87"/>
      <c r="L5" s="87"/>
    </row>
    <row r="7" spans="2:15">
      <c r="B7" t="s">
        <v>3110</v>
      </c>
      <c r="J7" s="13" t="str">
        <f>Show!$B$120&amp;"SR.25.01.04.01 Table label {"&amp;COLUMN($C$1)&amp;"}"</f>
        <v>!SR.25.01.04.01 Table label {3}</v>
      </c>
      <c r="K7" s="13" t="str">
        <f>Show!$B$120&amp;"SR.25.01.04.01 Table value {"&amp;COLUMN($D$1)&amp;"}"</f>
        <v>!SR.25.01.04.01 Table value {4}</v>
      </c>
    </row>
    <row r="8" spans="2:15">
      <c r="B8" t="s">
        <v>3111</v>
      </c>
    </row>
    <row r="9" spans="2:15">
      <c r="B9" s="40" t="s">
        <v>4622</v>
      </c>
      <c r="C9" s="53" t="s">
        <v>3113</v>
      </c>
      <c r="D9" s="51"/>
    </row>
    <row r="10" spans="2:15">
      <c r="B10" s="40" t="s">
        <v>3788</v>
      </c>
      <c r="C10" s="53" t="s">
        <v>3115</v>
      </c>
      <c r="D10" s="51"/>
    </row>
    <row r="11" spans="2:15">
      <c r="B11" s="40" t="s">
        <v>3114</v>
      </c>
      <c r="C11" s="53" t="s">
        <v>3323</v>
      </c>
      <c r="D11" s="50"/>
    </row>
    <row r="12" spans="2:15">
      <c r="J12" s="13" t="str">
        <f>Show!$B$120&amp;Show!$B$120&amp;"SR.25.01.04.01 Table label {"&amp;COLUMN($C$1)&amp;"}"</f>
        <v>!!SR.25.01.04.01 Table label {3}</v>
      </c>
      <c r="K12" s="13" t="str">
        <f>Show!$B$120&amp;Show!$B$120&amp;"SR.25.01.04.01 Table value {"&amp;COLUMN($D$1)&amp;"}"</f>
        <v>!!SR.25.01.04.01 Table value {4}</v>
      </c>
    </row>
    <row r="14" spans="2:15">
      <c r="D14" s="92" t="s">
        <v>2877</v>
      </c>
      <c r="E14" s="94"/>
    </row>
    <row r="15" spans="2:15">
      <c r="D15" s="95"/>
      <c r="E15" s="97"/>
    </row>
    <row r="16" spans="2:15" ht="45">
      <c r="D16" s="55" t="s">
        <v>4623</v>
      </c>
      <c r="E16" s="55" t="s">
        <v>4624</v>
      </c>
    </row>
    <row r="17" spans="2:12">
      <c r="D17" s="45" t="s">
        <v>3225</v>
      </c>
      <c r="E17" s="45" t="s">
        <v>3223</v>
      </c>
      <c r="J17" s="13" t="str">
        <f>Show!$B$120&amp;"SR.25.01.04.01 Rows {"&amp;COLUMN($C$1)&amp;"}"&amp;"@ForceFilingCode:true"</f>
        <v>!SR.25.01.04.01 Rows {3}@ForceFilingCode:true</v>
      </c>
      <c r="K17" s="13" t="str">
        <f>Show!$B$120&amp;"SR.25.01.04.01 Columns {"&amp;COLUMN($D$1)&amp;"}"</f>
        <v>!SR.25.01.04.01 Columns {4}</v>
      </c>
    </row>
    <row r="18" spans="2:12">
      <c r="B18" s="43" t="s">
        <v>2880</v>
      </c>
      <c r="C18" s="44" t="s">
        <v>2878</v>
      </c>
      <c r="D18" s="56"/>
      <c r="E18" s="57"/>
    </row>
    <row r="19" spans="2:12">
      <c r="B19" s="47" t="s">
        <v>4626</v>
      </c>
      <c r="C19" s="41" t="s">
        <v>2883</v>
      </c>
      <c r="D19" s="60"/>
      <c r="E19" s="60"/>
    </row>
    <row r="20" spans="2:12">
      <c r="B20" s="47" t="s">
        <v>4627</v>
      </c>
      <c r="C20" s="41" t="s">
        <v>2885</v>
      </c>
      <c r="D20" s="60"/>
      <c r="E20" s="60"/>
    </row>
    <row r="21" spans="2:12">
      <c r="B21" s="47" t="s">
        <v>4628</v>
      </c>
      <c r="C21" s="41" t="s">
        <v>2887</v>
      </c>
      <c r="D21" s="60"/>
      <c r="E21" s="60"/>
    </row>
    <row r="22" spans="2:12">
      <c r="B22" s="47" t="s">
        <v>4629</v>
      </c>
      <c r="C22" s="41" t="s">
        <v>2889</v>
      </c>
      <c r="D22" s="60"/>
      <c r="E22" s="60"/>
    </row>
    <row r="23" spans="2:12">
      <c r="B23" s="47" t="s">
        <v>4630</v>
      </c>
      <c r="C23" s="41" t="s">
        <v>3078</v>
      </c>
      <c r="D23" s="60"/>
      <c r="E23" s="60"/>
    </row>
    <row r="24" spans="2:12">
      <c r="B24" s="47" t="s">
        <v>4631</v>
      </c>
      <c r="C24" s="41" t="s">
        <v>2891</v>
      </c>
      <c r="D24" s="60"/>
      <c r="E24" s="60"/>
    </row>
    <row r="25" spans="2:12">
      <c r="B25" s="47" t="s">
        <v>4632</v>
      </c>
      <c r="C25" s="41" t="s">
        <v>2893</v>
      </c>
      <c r="D25" s="60"/>
      <c r="E25" s="60"/>
    </row>
    <row r="26" spans="2:12">
      <c r="B26" s="47" t="s">
        <v>4633</v>
      </c>
      <c r="C26" s="41" t="s">
        <v>2899</v>
      </c>
      <c r="D26" s="60"/>
      <c r="E26" s="60"/>
    </row>
    <row r="28" spans="2:12">
      <c r="J28" s="13" t="str">
        <f>Show!$B$120&amp;Show!$B$120&amp;"SR.25.01.04.01 Rows {"&amp;COLUMN($C$1)&amp;"}"</f>
        <v>!!SR.25.01.04.01 Rows {3}</v>
      </c>
      <c r="K28" s="13" t="str">
        <f>Show!$B$120&amp;Show!$B$120&amp;"SR.25.01.04.01 Columns {"&amp;COLUMN($E$1)&amp;"}"</f>
        <v>!!SR.25.01.04.01 Columns {5}</v>
      </c>
    </row>
    <row r="30" spans="2:12" ht="18.75">
      <c r="B30" s="88" t="s">
        <v>4699</v>
      </c>
      <c r="C30" s="87"/>
      <c r="D30" s="87"/>
      <c r="E30" s="87"/>
      <c r="F30" s="87"/>
      <c r="G30" s="87"/>
      <c r="H30" s="87"/>
      <c r="I30" s="87"/>
      <c r="J30" s="87"/>
      <c r="K30" s="87"/>
      <c r="L30" s="87"/>
    </row>
    <row r="32" spans="2:12">
      <c r="B32" t="s">
        <v>3110</v>
      </c>
      <c r="J32" s="13" t="str">
        <f>Show!$B$120&amp;"SR.25.01.04.02 Table label {"&amp;COLUMN($C$1)&amp;"}"</f>
        <v>!SR.25.01.04.02 Table label {3}</v>
      </c>
      <c r="K32" s="13" t="str">
        <f>Show!$B$120&amp;"SR.25.01.04.02 Table value {"&amp;COLUMN($D$1)&amp;"}"</f>
        <v>!SR.25.01.04.02 Table value {4}</v>
      </c>
    </row>
    <row r="33" spans="2:11">
      <c r="B33" t="s">
        <v>3111</v>
      </c>
    </row>
    <row r="34" spans="2:11">
      <c r="B34" s="40" t="s">
        <v>4622</v>
      </c>
      <c r="C34" s="53" t="s">
        <v>3113</v>
      </c>
      <c r="D34" s="51"/>
    </row>
    <row r="35" spans="2:11">
      <c r="B35" s="40" t="s">
        <v>3788</v>
      </c>
      <c r="C35" s="53" t="s">
        <v>3115</v>
      </c>
      <c r="D35" s="51"/>
    </row>
    <row r="36" spans="2:11">
      <c r="B36" s="40" t="s">
        <v>3114</v>
      </c>
      <c r="C36" s="53" t="s">
        <v>3323</v>
      </c>
      <c r="D36" s="50"/>
    </row>
    <row r="37" spans="2:11">
      <c r="J37" s="13" t="str">
        <f>Show!$B$120&amp;Show!$B$120&amp;"SR.25.01.04.02 Table label {"&amp;COLUMN($C$1)&amp;"}"</f>
        <v>!!SR.25.01.04.02 Table label {3}</v>
      </c>
      <c r="K37" s="13" t="str">
        <f>Show!$B$120&amp;Show!$B$120&amp;"SR.25.01.04.02 Table value {"&amp;COLUMN($D$1)&amp;"}"</f>
        <v>!!SR.25.01.04.02 Table value {4}</v>
      </c>
    </row>
    <row r="39" spans="2:11">
      <c r="D39" s="89" t="s">
        <v>2877</v>
      </c>
    </row>
    <row r="40" spans="2:11">
      <c r="D40" s="91"/>
    </row>
    <row r="41" spans="2:11">
      <c r="D41" s="89" t="s">
        <v>4635</v>
      </c>
    </row>
    <row r="42" spans="2:11">
      <c r="D42" s="91"/>
    </row>
    <row r="43" spans="2:11">
      <c r="D43" s="45" t="s">
        <v>3239</v>
      </c>
      <c r="J43" s="13" t="str">
        <f>Show!$B$120&amp;"SR.25.01.04.02 Rows {"&amp;COLUMN($C$1)&amp;"}"&amp;"@ForceFilingCode:true"</f>
        <v>!SR.25.01.04.02 Rows {3}@ForceFilingCode:true</v>
      </c>
      <c r="K43" s="13" t="str">
        <f>Show!$B$120&amp;"SR.25.01.04.02 Columns {"&amp;COLUMN($D$1)&amp;"}"</f>
        <v>!SR.25.01.04.02 Columns {4}</v>
      </c>
    </row>
    <row r="44" spans="2:11">
      <c r="B44" s="43" t="s">
        <v>2880</v>
      </c>
      <c r="C44" s="44" t="s">
        <v>2878</v>
      </c>
      <c r="D44" s="46"/>
    </row>
    <row r="45" spans="2:11">
      <c r="B45" s="47" t="s">
        <v>4637</v>
      </c>
      <c r="C45" s="41" t="s">
        <v>2905</v>
      </c>
      <c r="D45" s="60"/>
    </row>
    <row r="46" spans="2:11">
      <c r="B46" s="47" t="s">
        <v>4638</v>
      </c>
      <c r="C46" s="41" t="s">
        <v>2907</v>
      </c>
      <c r="D46" s="60"/>
    </row>
    <row r="47" spans="2:11">
      <c r="B47" s="47" t="s">
        <v>4639</v>
      </c>
      <c r="C47" s="41" t="s">
        <v>2909</v>
      </c>
      <c r="D47" s="60"/>
    </row>
    <row r="48" spans="2:11">
      <c r="B48" s="47" t="s">
        <v>711</v>
      </c>
      <c r="C48" s="41" t="s">
        <v>2919</v>
      </c>
      <c r="D48" s="60"/>
    </row>
    <row r="49" spans="2:11">
      <c r="B49" s="49" t="s">
        <v>4651</v>
      </c>
      <c r="C49" s="41" t="s">
        <v>2971</v>
      </c>
      <c r="D49" s="60"/>
    </row>
    <row r="51" spans="2:11">
      <c r="J51" s="13" t="str">
        <f>Show!$B$120&amp;Show!$B$120&amp;"SR.25.01.04.02 Rows {"&amp;COLUMN($C$1)&amp;"}"</f>
        <v>!!SR.25.01.04.02 Rows {3}</v>
      </c>
      <c r="K51" s="13" t="str">
        <f>Show!$B$120&amp;Show!$B$120&amp;"SR.25.01.04.02 Columns {"&amp;COLUMN($D$1)&amp;"}"</f>
        <v>!!SR.25.01.04.02 Columns {4}</v>
      </c>
    </row>
  </sheetData>
  <sheetProtection sheet="1" objects="1" scenarios="1"/>
  <mergeCells count="6">
    <mergeCell ref="D41:D42"/>
    <mergeCell ref="B2:O2"/>
    <mergeCell ref="B5:L5"/>
    <mergeCell ref="D14:E15"/>
    <mergeCell ref="B30:L30"/>
    <mergeCell ref="D39:D40"/>
  </mergeCells>
  <dataValidations count="2">
    <dataValidation type="list" errorStyle="warning" allowBlank="1" showInputMessage="1" showErrorMessage="1" sqref="D9 D34" xr:uid="{F4B291D7-14B4-4A84-9E75-ED430CAB87D9}">
      <formula1>hier_AO_1</formula1>
    </dataValidation>
    <dataValidation type="list" errorStyle="warning" allowBlank="1" showInputMessage="1" showErrorMessage="1" sqref="D10 D35" xr:uid="{761EECED-B34A-4F4E-8D75-F18DE058AD83}">
      <formula1>hier_PU_20</formula1>
    </dataValidation>
  </dataValidations>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744E5-EE94-4B82-A75F-16DD2A54FB64}">
  <sheetPr codeName="Blad125"/>
  <dimension ref="B2:P94"/>
  <sheetViews>
    <sheetView showGridLines="0" workbookViewId="0"/>
  </sheetViews>
  <sheetFormatPr defaultRowHeight="15"/>
  <cols>
    <col min="2" max="2" width="28.28515625" bestFit="1" customWidth="1"/>
    <col min="3" max="3" width="40.7109375" customWidth="1"/>
    <col min="4" max="5" width="15.7109375" customWidth="1"/>
    <col min="6" max="6" width="40.7109375" customWidth="1"/>
    <col min="7" max="7" width="15.7109375" customWidth="1"/>
  </cols>
  <sheetData>
    <row r="2" spans="2:16" ht="23.25">
      <c r="B2" s="86" t="s">
        <v>695</v>
      </c>
      <c r="C2" s="87"/>
      <c r="D2" s="87"/>
      <c r="E2" s="87"/>
      <c r="F2" s="87"/>
      <c r="G2" s="87"/>
      <c r="H2" s="87"/>
      <c r="I2" s="87"/>
      <c r="J2" s="87"/>
      <c r="K2" s="87"/>
      <c r="L2" s="87"/>
      <c r="M2" s="87"/>
      <c r="N2" s="87"/>
      <c r="O2" s="87"/>
    </row>
    <row r="5" spans="2:16" ht="18.75">
      <c r="B5" s="88" t="s">
        <v>4700</v>
      </c>
      <c r="C5" s="87"/>
      <c r="D5" s="87"/>
      <c r="E5" s="87"/>
      <c r="F5" s="87"/>
      <c r="G5" s="87"/>
      <c r="H5" s="87"/>
      <c r="I5" s="87"/>
      <c r="J5" s="87"/>
      <c r="K5" s="87"/>
      <c r="L5" s="87"/>
    </row>
    <row r="9" spans="2:16">
      <c r="B9" s="89" t="s">
        <v>4701</v>
      </c>
      <c r="C9" s="92" t="s">
        <v>2877</v>
      </c>
      <c r="D9" s="93"/>
      <c r="E9" s="93"/>
      <c r="F9" s="93"/>
      <c r="G9" s="94"/>
    </row>
    <row r="10" spans="2:16">
      <c r="B10" s="90"/>
      <c r="C10" s="95"/>
      <c r="D10" s="96"/>
      <c r="E10" s="96"/>
      <c r="F10" s="96"/>
      <c r="G10" s="97"/>
    </row>
    <row r="11" spans="2:16" ht="90">
      <c r="B11" s="91"/>
      <c r="C11" s="55" t="s">
        <v>4702</v>
      </c>
      <c r="D11" s="55" t="s">
        <v>4703</v>
      </c>
      <c r="E11" s="55" t="s">
        <v>4625</v>
      </c>
      <c r="F11" s="55" t="s">
        <v>4704</v>
      </c>
      <c r="G11" s="55" t="s">
        <v>4705</v>
      </c>
    </row>
    <row r="12" spans="2:16">
      <c r="B12" s="42" t="s">
        <v>2879</v>
      </c>
      <c r="C12" s="42" t="s">
        <v>3219</v>
      </c>
      <c r="D12" s="42" t="s">
        <v>3225</v>
      </c>
      <c r="E12" s="42" t="s">
        <v>3229</v>
      </c>
      <c r="F12" s="42" t="s">
        <v>3231</v>
      </c>
      <c r="G12" s="42" t="s">
        <v>3233</v>
      </c>
      <c r="O12" s="13" t="str">
        <f>Show!$B$121&amp;"S.25.02.01.01 Rows {"&amp;COLUMN($B$1)&amp;"}"&amp;"@ForceFilingCode:true"</f>
        <v>!S.25.02.01.01 Rows {2}@ForceFilingCode:true</v>
      </c>
      <c r="P12" s="13" t="str">
        <f>Show!$B$121&amp;"S.25.02.01.01 Columns {"&amp;COLUMN($B$1)&amp;"}"</f>
        <v>!S.25.02.01.01 Columns {2}</v>
      </c>
    </row>
    <row r="13" spans="2:16">
      <c r="B13" s="50"/>
      <c r="C13" s="51"/>
      <c r="D13" s="60"/>
      <c r="E13" s="60"/>
      <c r="F13" s="51"/>
      <c r="G13" s="60"/>
    </row>
    <row r="15" spans="2:16">
      <c r="O15" s="13" t="str">
        <f>Show!$B$121&amp;Show!$B$121&amp;"S.25.02.01.01 Rows {"&amp;COLUMN($B$1)&amp;"}"</f>
        <v>!!S.25.02.01.01 Rows {2}</v>
      </c>
      <c r="P15" s="13" t="str">
        <f>Show!$B$121&amp;Show!$B$121&amp;"S.25.02.01.01 Columns {"&amp;COLUMN($G$1)&amp;"}"</f>
        <v>!!S.25.02.01.01 Columns {7}</v>
      </c>
    </row>
    <row r="17" spans="2:16" ht="18.75">
      <c r="B17" s="88" t="s">
        <v>4706</v>
      </c>
      <c r="C17" s="87"/>
      <c r="D17" s="87"/>
      <c r="E17" s="87"/>
      <c r="F17" s="87"/>
      <c r="G17" s="87"/>
      <c r="H17" s="87"/>
      <c r="I17" s="87"/>
      <c r="J17" s="87"/>
      <c r="K17" s="87"/>
      <c r="L17" s="87"/>
    </row>
    <row r="21" spans="2:16">
      <c r="D21" s="89" t="s">
        <v>2877</v>
      </c>
    </row>
    <row r="22" spans="2:16">
      <c r="D22" s="90"/>
    </row>
    <row r="23" spans="2:16">
      <c r="D23" s="90"/>
    </row>
    <row r="24" spans="2:16">
      <c r="D24" s="91"/>
    </row>
    <row r="25" spans="2:16">
      <c r="D25" s="45" t="s">
        <v>3239</v>
      </c>
      <c r="O25" s="13" t="str">
        <f>Show!$B$121&amp;"S.25.02.01.02 Rows {"&amp;COLUMN($C$1)&amp;"}"&amp;"@ForceFilingCode:true"</f>
        <v>!S.25.02.01.02 Rows {3}@ForceFilingCode:true</v>
      </c>
      <c r="P25" s="13" t="str">
        <f>Show!$B$121&amp;"S.25.02.01.02 Columns {"&amp;COLUMN($D$1)&amp;"}"</f>
        <v>!S.25.02.01.02 Columns {4}</v>
      </c>
    </row>
    <row r="26" spans="2:16">
      <c r="B26" s="43" t="s">
        <v>2880</v>
      </c>
      <c r="C26" s="44" t="s">
        <v>2878</v>
      </c>
      <c r="D26" s="46"/>
    </row>
    <row r="27" spans="2:16" ht="30">
      <c r="B27" s="47" t="s">
        <v>4707</v>
      </c>
      <c r="C27" s="41" t="s">
        <v>2901</v>
      </c>
      <c r="D27" s="60"/>
    </row>
    <row r="28" spans="2:16">
      <c r="B28" s="47" t="s">
        <v>4631</v>
      </c>
      <c r="C28" s="41" t="s">
        <v>2891</v>
      </c>
      <c r="D28" s="60"/>
    </row>
    <row r="29" spans="2:16" ht="30">
      <c r="B29" s="47" t="s">
        <v>4636</v>
      </c>
      <c r="C29" s="41" t="s">
        <v>2903</v>
      </c>
      <c r="D29" s="60"/>
    </row>
    <row r="30" spans="2:16" ht="60">
      <c r="B30" s="47" t="s">
        <v>4640</v>
      </c>
      <c r="C30" s="41" t="s">
        <v>2911</v>
      </c>
      <c r="D30" s="60"/>
    </row>
    <row r="31" spans="2:16" ht="45">
      <c r="B31" s="47" t="s">
        <v>4708</v>
      </c>
      <c r="C31" s="41" t="s">
        <v>2919</v>
      </c>
      <c r="D31" s="60"/>
    </row>
    <row r="32" spans="2:16">
      <c r="B32" s="47" t="s">
        <v>4671</v>
      </c>
      <c r="C32" s="41" t="s">
        <v>2921</v>
      </c>
      <c r="D32" s="60"/>
    </row>
    <row r="33" spans="2:16" ht="30">
      <c r="B33" s="47" t="s">
        <v>4643</v>
      </c>
      <c r="C33" s="41" t="s">
        <v>2923</v>
      </c>
      <c r="D33" s="63"/>
    </row>
    <row r="34" spans="2:16">
      <c r="B34" s="47" t="s">
        <v>4644</v>
      </c>
      <c r="C34" s="44" t="s">
        <v>2878</v>
      </c>
      <c r="D34" s="46"/>
    </row>
    <row r="35" spans="2:16" ht="60">
      <c r="B35" s="49" t="s">
        <v>4709</v>
      </c>
      <c r="C35" s="41" t="s">
        <v>2939</v>
      </c>
      <c r="D35" s="60"/>
    </row>
    <row r="36" spans="2:16" ht="45">
      <c r="B36" s="49" t="s">
        <v>4710</v>
      </c>
      <c r="C36" s="41" t="s">
        <v>2941</v>
      </c>
      <c r="D36" s="60"/>
    </row>
    <row r="37" spans="2:16" ht="45">
      <c r="B37" s="49" t="s">
        <v>4645</v>
      </c>
      <c r="C37" s="41" t="s">
        <v>2959</v>
      </c>
      <c r="D37" s="60"/>
    </row>
    <row r="38" spans="2:16" ht="60">
      <c r="B38" s="49" t="s">
        <v>4646</v>
      </c>
      <c r="C38" s="41" t="s">
        <v>2961</v>
      </c>
      <c r="D38" s="60"/>
    </row>
    <row r="39" spans="2:16" ht="60">
      <c r="B39" s="49" t="s">
        <v>4711</v>
      </c>
      <c r="C39" s="41" t="s">
        <v>2963</v>
      </c>
      <c r="D39" s="60"/>
    </row>
    <row r="40" spans="2:16" ht="75">
      <c r="B40" s="49" t="s">
        <v>4712</v>
      </c>
      <c r="C40" s="41" t="s">
        <v>2965</v>
      </c>
      <c r="D40" s="60"/>
    </row>
    <row r="41" spans="2:16" ht="45">
      <c r="B41" s="49" t="s">
        <v>4649</v>
      </c>
      <c r="C41" s="41" t="s">
        <v>2967</v>
      </c>
      <c r="D41" s="60"/>
    </row>
    <row r="42" spans="2:16" ht="60">
      <c r="B42" s="49" t="s">
        <v>4650</v>
      </c>
      <c r="C42" s="41" t="s">
        <v>2969</v>
      </c>
      <c r="D42" s="51"/>
    </row>
    <row r="43" spans="2:16" ht="30">
      <c r="B43" s="49" t="s">
        <v>4651</v>
      </c>
      <c r="C43" s="41" t="s">
        <v>2971</v>
      </c>
      <c r="D43" s="60"/>
    </row>
    <row r="45" spans="2:16">
      <c r="O45" s="13" t="str">
        <f>Show!$B$121&amp;Show!$B$121&amp;"S.25.02.01.02 Rows {"&amp;COLUMN($C$1)&amp;"}"</f>
        <v>!!S.25.02.01.02 Rows {3}</v>
      </c>
      <c r="P45" s="13" t="str">
        <f>Show!$B$121&amp;Show!$B$121&amp;"S.25.02.01.02 Columns {"&amp;COLUMN($D$1)&amp;"}"</f>
        <v>!!S.25.02.01.02 Columns {4}</v>
      </c>
    </row>
    <row r="47" spans="2:16" ht="18.75">
      <c r="B47" s="88" t="s">
        <v>4713</v>
      </c>
      <c r="C47" s="87"/>
      <c r="D47" s="87"/>
      <c r="E47" s="87"/>
      <c r="F47" s="87"/>
      <c r="G47" s="87"/>
      <c r="H47" s="87"/>
      <c r="I47" s="87"/>
      <c r="J47" s="87"/>
      <c r="K47" s="87"/>
      <c r="L47" s="87"/>
    </row>
    <row r="51" spans="2:16">
      <c r="D51" s="89" t="s">
        <v>2877</v>
      </c>
    </row>
    <row r="52" spans="2:16">
      <c r="D52" s="91"/>
    </row>
    <row r="53" spans="2:16">
      <c r="D53" s="55" t="s">
        <v>4653</v>
      </c>
    </row>
    <row r="54" spans="2:16">
      <c r="D54" s="45" t="s">
        <v>4654</v>
      </c>
      <c r="O54" s="13" t="str">
        <f>Show!$B$121&amp;"S.25.02.01.03 Rows {"&amp;COLUMN($C$1)&amp;"}"&amp;"@ForceFilingCode:true"</f>
        <v>!S.25.02.01.03 Rows {3}@ForceFilingCode:true</v>
      </c>
      <c r="P54" s="13" t="str">
        <f>Show!$B$121&amp;"S.25.02.01.03 Columns {"&amp;COLUMN($D$1)&amp;"}"</f>
        <v>!S.25.02.01.03 Columns {4}</v>
      </c>
    </row>
    <row r="55" spans="2:16">
      <c r="B55" s="43" t="s">
        <v>2880</v>
      </c>
      <c r="C55" s="44" t="s">
        <v>2878</v>
      </c>
      <c r="D55" s="46"/>
    </row>
    <row r="56" spans="2:16" ht="30">
      <c r="B56" s="47" t="s">
        <v>2562</v>
      </c>
      <c r="C56" s="41" t="s">
        <v>2995</v>
      </c>
      <c r="D56" s="51"/>
    </row>
    <row r="58" spans="2:16">
      <c r="O58" s="13" t="str">
        <f>Show!$B$121&amp;Show!$B$121&amp;"S.25.02.01.03 Rows {"&amp;COLUMN($C$1)&amp;"}"</f>
        <v>!!S.25.02.01.03 Rows {3}</v>
      </c>
      <c r="P58" s="13" t="str">
        <f>Show!$B$121&amp;Show!$B$121&amp;"S.25.02.01.03 Columns {"&amp;COLUMN($D$1)&amp;"}"</f>
        <v>!!S.25.02.01.03 Columns {4}</v>
      </c>
    </row>
    <row r="60" spans="2:16" ht="18.75">
      <c r="B60" s="88" t="s">
        <v>4714</v>
      </c>
      <c r="C60" s="87"/>
      <c r="D60" s="87"/>
      <c r="E60" s="87"/>
      <c r="F60" s="87"/>
      <c r="G60" s="87"/>
      <c r="H60" s="87"/>
      <c r="I60" s="87"/>
      <c r="J60" s="87"/>
      <c r="K60" s="87"/>
      <c r="L60" s="87"/>
    </row>
    <row r="64" spans="2:16">
      <c r="D64" s="92" t="s">
        <v>2877</v>
      </c>
      <c r="E64" s="94"/>
    </row>
    <row r="65" spans="2:16">
      <c r="D65" s="95"/>
      <c r="E65" s="97"/>
    </row>
    <row r="66" spans="2:16">
      <c r="D66" s="89" t="s">
        <v>4656</v>
      </c>
      <c r="E66" s="89" t="s">
        <v>4657</v>
      </c>
    </row>
    <row r="67" spans="2:16">
      <c r="D67" s="91"/>
      <c r="E67" s="91"/>
    </row>
    <row r="68" spans="2:16">
      <c r="D68" s="45" t="s">
        <v>3241</v>
      </c>
      <c r="E68" s="45" t="s">
        <v>3243</v>
      </c>
      <c r="O68" s="13" t="str">
        <f>Show!$B$121&amp;"S.25.02.01.04 Rows {"&amp;COLUMN($C$1)&amp;"}"&amp;"@ForceFilingCode:true"</f>
        <v>!S.25.02.01.04 Rows {3}@ForceFilingCode:true</v>
      </c>
      <c r="P68" s="13" t="str">
        <f>Show!$B$121&amp;"S.25.02.01.04 Columns {"&amp;COLUMN($D$1)&amp;"}"</f>
        <v>!S.25.02.01.04 Columns {4}</v>
      </c>
    </row>
    <row r="69" spans="2:16">
      <c r="B69" s="43" t="s">
        <v>2880</v>
      </c>
      <c r="C69" s="44" t="s">
        <v>2878</v>
      </c>
      <c r="D69" s="56"/>
      <c r="E69" s="57"/>
    </row>
    <row r="70" spans="2:16">
      <c r="B70" s="47" t="s">
        <v>4658</v>
      </c>
      <c r="C70" s="41" t="s">
        <v>2997</v>
      </c>
      <c r="D70" s="60"/>
      <c r="E70" s="60"/>
    </row>
    <row r="71" spans="2:16">
      <c r="B71" s="49" t="s">
        <v>4659</v>
      </c>
      <c r="C71" s="41" t="s">
        <v>2999</v>
      </c>
      <c r="D71" s="60"/>
      <c r="E71" s="60"/>
    </row>
    <row r="72" spans="2:16" ht="30">
      <c r="B72" s="49" t="s">
        <v>4660</v>
      </c>
      <c r="C72" s="41" t="s">
        <v>3001</v>
      </c>
      <c r="D72" s="60"/>
      <c r="E72" s="60"/>
    </row>
    <row r="73" spans="2:16">
      <c r="B73" s="47" t="s">
        <v>4661</v>
      </c>
      <c r="C73" s="41" t="s">
        <v>3003</v>
      </c>
      <c r="D73" s="60"/>
      <c r="E73" s="60"/>
    </row>
    <row r="75" spans="2:16">
      <c r="O75" s="13" t="str">
        <f>Show!$B$121&amp;Show!$B$121&amp;"S.25.02.01.04 Rows {"&amp;COLUMN($C$1)&amp;"}"</f>
        <v>!!S.25.02.01.04 Rows {3}</v>
      </c>
      <c r="P75" s="13" t="str">
        <f>Show!$B$121&amp;Show!$B$121&amp;"S.25.02.01.04 Columns {"&amp;COLUMN($E$1)&amp;"}"</f>
        <v>!!S.25.02.01.04 Columns {5}</v>
      </c>
    </row>
    <row r="77" spans="2:16" ht="18.75">
      <c r="B77" s="88" t="s">
        <v>4715</v>
      </c>
      <c r="C77" s="87"/>
      <c r="D77" s="87"/>
      <c r="E77" s="87"/>
      <c r="F77" s="87"/>
      <c r="G77" s="87"/>
      <c r="H77" s="87"/>
      <c r="I77" s="87"/>
      <c r="J77" s="87"/>
      <c r="K77" s="87"/>
      <c r="L77" s="87"/>
    </row>
    <row r="81" spans="2:16">
      <c r="D81" s="89" t="s">
        <v>2877</v>
      </c>
    </row>
    <row r="82" spans="2:16">
      <c r="D82" s="91"/>
    </row>
    <row r="83" spans="2:16">
      <c r="D83" s="89" t="s">
        <v>4663</v>
      </c>
    </row>
    <row r="84" spans="2:16">
      <c r="D84" s="91"/>
    </row>
    <row r="85" spans="2:16">
      <c r="D85" s="45" t="s">
        <v>3375</v>
      </c>
      <c r="O85" s="13" t="str">
        <f>Show!$B$121&amp;"S.25.02.01.05 Rows {"&amp;COLUMN($C$1)&amp;"}"&amp;"@ForceFilingCode:true"</f>
        <v>!S.25.02.01.05 Rows {3}@ForceFilingCode:true</v>
      </c>
      <c r="P85" s="13" t="str">
        <f>Show!$B$121&amp;"S.25.02.01.05 Columns {"&amp;COLUMN($D$1)&amp;"}"</f>
        <v>!S.25.02.01.05 Columns {4}</v>
      </c>
    </row>
    <row r="86" spans="2:16">
      <c r="B86" s="43" t="s">
        <v>2880</v>
      </c>
      <c r="C86" s="44" t="s">
        <v>2878</v>
      </c>
      <c r="D86" s="46"/>
    </row>
    <row r="87" spans="2:16" ht="30">
      <c r="B87" s="47" t="s">
        <v>4716</v>
      </c>
      <c r="C87" s="41" t="s">
        <v>3005</v>
      </c>
      <c r="D87" s="60"/>
    </row>
    <row r="88" spans="2:16" ht="45">
      <c r="B88" s="49" t="s">
        <v>4717</v>
      </c>
      <c r="C88" s="41" t="s">
        <v>3007</v>
      </c>
      <c r="D88" s="60"/>
    </row>
    <row r="89" spans="2:16" ht="60">
      <c r="B89" s="49" t="s">
        <v>4718</v>
      </c>
      <c r="C89" s="41" t="s">
        <v>3009</v>
      </c>
      <c r="D89" s="60"/>
    </row>
    <row r="90" spans="2:16" ht="45">
      <c r="B90" s="49" t="s">
        <v>4719</v>
      </c>
      <c r="C90" s="41" t="s">
        <v>3011</v>
      </c>
      <c r="D90" s="60"/>
    </row>
    <row r="91" spans="2:16" ht="45">
      <c r="B91" s="49" t="s">
        <v>4720</v>
      </c>
      <c r="C91" s="41" t="s">
        <v>3013</v>
      </c>
      <c r="D91" s="60"/>
    </row>
    <row r="92" spans="2:16" ht="30">
      <c r="B92" s="49" t="s">
        <v>4721</v>
      </c>
      <c r="C92" s="41" t="s">
        <v>3015</v>
      </c>
      <c r="D92" s="60"/>
    </row>
    <row r="94" spans="2:16">
      <c r="O94" s="13" t="str">
        <f>Show!$B$121&amp;Show!$B$121&amp;"S.25.02.01.05 Rows {"&amp;COLUMN($C$1)&amp;"}"</f>
        <v>!!S.25.02.01.05 Rows {3}</v>
      </c>
      <c r="P94" s="13" t="str">
        <f>Show!$B$121&amp;Show!$B$121&amp;"S.25.02.01.05 Columns {"&amp;COLUMN($D$1)&amp;"}"</f>
        <v>!!S.25.02.01.05 Columns {4}</v>
      </c>
    </row>
  </sheetData>
  <sheetProtection sheet="1" objects="1" scenarios="1"/>
  <mergeCells count="15">
    <mergeCell ref="D21:D24"/>
    <mergeCell ref="B2:O2"/>
    <mergeCell ref="B5:L5"/>
    <mergeCell ref="B9:B11"/>
    <mergeCell ref="C9:G10"/>
    <mergeCell ref="B17:L17"/>
    <mergeCell ref="B77:L77"/>
    <mergeCell ref="D81:D82"/>
    <mergeCell ref="D83:D84"/>
    <mergeCell ref="B47:L47"/>
    <mergeCell ref="D51:D52"/>
    <mergeCell ref="B60:L60"/>
    <mergeCell ref="D64:E65"/>
    <mergeCell ref="D66:D67"/>
    <mergeCell ref="E66:E67"/>
  </mergeCells>
  <dataValidations count="3">
    <dataValidation type="list" errorStyle="warning" allowBlank="1" showInputMessage="1" showErrorMessage="1" sqref="F13" xr:uid="{59FA6EF7-CFEC-4256-8EA6-9E66AFB5BFE6}">
      <formula1>hier_AP_14</formula1>
    </dataValidation>
    <dataValidation type="list" errorStyle="warning" allowBlank="1" showInputMessage="1" showErrorMessage="1" sqref="D42" xr:uid="{5F98A56B-37D5-49D3-A0DC-F049C13524E7}">
      <formula1>hier_AP_18</formula1>
    </dataValidation>
    <dataValidation type="list" errorStyle="warning" allowBlank="1" showInputMessage="1" showErrorMessage="1" sqref="D56" xr:uid="{629AE637-25CC-43EF-9C6B-D3B1E4F6CB37}">
      <formula1>hier_AP_24</formula1>
    </dataValidation>
  </dataValidations>
  <pageMargins left="0.7" right="0.7" top="0.75" bottom="0.75" header="0.3" footer="0.3"/>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1CAEC-75FB-4D22-80BD-AA2C2F308109}">
  <sheetPr codeName="Blad126"/>
  <dimension ref="B2:P56"/>
  <sheetViews>
    <sheetView showGridLines="0" workbookViewId="0"/>
  </sheetViews>
  <sheetFormatPr defaultRowHeight="15"/>
  <cols>
    <col min="2" max="2" width="28.28515625" bestFit="1" customWidth="1"/>
    <col min="3" max="3" width="40.7109375" customWidth="1"/>
    <col min="4" max="5" width="15.7109375" customWidth="1"/>
    <col min="6" max="6" width="40.7109375" customWidth="1"/>
    <col min="7" max="7" width="15.7109375" customWidth="1"/>
  </cols>
  <sheetData>
    <row r="2" spans="2:16" ht="23.25">
      <c r="B2" s="86" t="s">
        <v>697</v>
      </c>
      <c r="C2" s="87"/>
      <c r="D2" s="87"/>
      <c r="E2" s="87"/>
      <c r="F2" s="87"/>
      <c r="G2" s="87"/>
      <c r="H2" s="87"/>
      <c r="I2" s="87"/>
      <c r="J2" s="87"/>
      <c r="K2" s="87"/>
      <c r="L2" s="87"/>
      <c r="M2" s="87"/>
      <c r="N2" s="87"/>
      <c r="O2" s="87"/>
    </row>
    <row r="5" spans="2:16" ht="18.75">
      <c r="B5" s="88" t="s">
        <v>4722</v>
      </c>
      <c r="C5" s="87"/>
      <c r="D5" s="87"/>
      <c r="E5" s="87"/>
      <c r="F5" s="87"/>
      <c r="G5" s="87"/>
      <c r="H5" s="87"/>
      <c r="I5" s="87"/>
      <c r="J5" s="87"/>
      <c r="K5" s="87"/>
      <c r="L5" s="87"/>
    </row>
    <row r="9" spans="2:16">
      <c r="B9" s="89" t="s">
        <v>4701</v>
      </c>
      <c r="C9" s="92" t="s">
        <v>2877</v>
      </c>
      <c r="D9" s="93"/>
      <c r="E9" s="93"/>
      <c r="F9" s="93"/>
      <c r="G9" s="94"/>
    </row>
    <row r="10" spans="2:16">
      <c r="B10" s="90"/>
      <c r="C10" s="95"/>
      <c r="D10" s="96"/>
      <c r="E10" s="96"/>
      <c r="F10" s="96"/>
      <c r="G10" s="97"/>
    </row>
    <row r="11" spans="2:16" ht="90">
      <c r="B11" s="91"/>
      <c r="C11" s="55" t="s">
        <v>4702</v>
      </c>
      <c r="D11" s="55" t="s">
        <v>4703</v>
      </c>
      <c r="E11" s="55" t="s">
        <v>4625</v>
      </c>
      <c r="F11" s="55" t="s">
        <v>4704</v>
      </c>
      <c r="G11" s="55" t="s">
        <v>4705</v>
      </c>
    </row>
    <row r="12" spans="2:16">
      <c r="B12" s="42" t="s">
        <v>2879</v>
      </c>
      <c r="C12" s="42" t="s">
        <v>3219</v>
      </c>
      <c r="D12" s="42" t="s">
        <v>3225</v>
      </c>
      <c r="E12" s="42" t="s">
        <v>3229</v>
      </c>
      <c r="F12" s="42" t="s">
        <v>3231</v>
      </c>
      <c r="G12" s="42" t="s">
        <v>3233</v>
      </c>
      <c r="O12" s="13" t="str">
        <f>Show!$B$122&amp;"S.25.02.04.01 Rows {"&amp;COLUMN($B$1)&amp;"}"&amp;"@ForceFilingCode:true"</f>
        <v>!S.25.02.04.01 Rows {2}@ForceFilingCode:true</v>
      </c>
      <c r="P12" s="13" t="str">
        <f>Show!$B$122&amp;"S.25.02.04.01 Columns {"&amp;COLUMN($B$1)&amp;"}"</f>
        <v>!S.25.02.04.01 Columns {2}</v>
      </c>
    </row>
    <row r="13" spans="2:16">
      <c r="B13" s="50"/>
      <c r="C13" s="51"/>
      <c r="D13" s="60"/>
      <c r="E13" s="60"/>
      <c r="F13" s="51"/>
      <c r="G13" s="60"/>
    </row>
    <row r="15" spans="2:16">
      <c r="O15" s="13" t="str">
        <f>Show!$B$122&amp;Show!$B$122&amp;"S.25.02.04.01 Rows {"&amp;COLUMN($B$1)&amp;"}"</f>
        <v>!!S.25.02.04.01 Rows {2}</v>
      </c>
      <c r="P15" s="13" t="str">
        <f>Show!$B$122&amp;Show!$B$122&amp;"S.25.02.04.01 Columns {"&amp;COLUMN($G$1)&amp;"}"</f>
        <v>!!S.25.02.04.01 Columns {7}</v>
      </c>
    </row>
    <row r="17" spans="2:16" ht="18.75">
      <c r="B17" s="88" t="s">
        <v>4723</v>
      </c>
      <c r="C17" s="87"/>
      <c r="D17" s="87"/>
      <c r="E17" s="87"/>
      <c r="F17" s="87"/>
      <c r="G17" s="87"/>
      <c r="H17" s="87"/>
      <c r="I17" s="87"/>
      <c r="J17" s="87"/>
      <c r="K17" s="87"/>
      <c r="L17" s="87"/>
    </row>
    <row r="21" spans="2:16">
      <c r="D21" s="89" t="s">
        <v>2877</v>
      </c>
    </row>
    <row r="22" spans="2:16">
      <c r="D22" s="90"/>
    </row>
    <row r="23" spans="2:16">
      <c r="D23" s="90"/>
    </row>
    <row r="24" spans="2:16">
      <c r="D24" s="91"/>
    </row>
    <row r="25" spans="2:16">
      <c r="D25" s="45" t="s">
        <v>3239</v>
      </c>
      <c r="O25" s="13" t="str">
        <f>Show!$B$122&amp;"S.25.02.04.02 Rows {"&amp;COLUMN($C$1)&amp;"}"&amp;"@ForceFilingCode:true"</f>
        <v>!S.25.02.04.02 Rows {3}@ForceFilingCode:true</v>
      </c>
      <c r="P25" s="13" t="str">
        <f>Show!$B$122&amp;"S.25.02.04.02 Columns {"&amp;COLUMN($D$1)&amp;"}"</f>
        <v>!S.25.02.04.02 Columns {4}</v>
      </c>
    </row>
    <row r="26" spans="2:16">
      <c r="B26" s="43" t="s">
        <v>2880</v>
      </c>
      <c r="C26" s="44" t="s">
        <v>2878</v>
      </c>
      <c r="D26" s="46"/>
    </row>
    <row r="27" spans="2:16" ht="30">
      <c r="B27" s="47" t="s">
        <v>4707</v>
      </c>
      <c r="C27" s="41" t="s">
        <v>2901</v>
      </c>
      <c r="D27" s="60"/>
    </row>
    <row r="28" spans="2:16">
      <c r="B28" s="47" t="s">
        <v>4631</v>
      </c>
      <c r="C28" s="41" t="s">
        <v>2891</v>
      </c>
      <c r="D28" s="60"/>
    </row>
    <row r="29" spans="2:16" ht="30">
      <c r="B29" s="47" t="s">
        <v>4636</v>
      </c>
      <c r="C29" s="41" t="s">
        <v>2903</v>
      </c>
      <c r="D29" s="60"/>
    </row>
    <row r="30" spans="2:16" ht="60">
      <c r="B30" s="47" t="s">
        <v>4640</v>
      </c>
      <c r="C30" s="41" t="s">
        <v>2911</v>
      </c>
      <c r="D30" s="60"/>
    </row>
    <row r="31" spans="2:16" ht="45">
      <c r="B31" s="47" t="s">
        <v>4708</v>
      </c>
      <c r="C31" s="41" t="s">
        <v>2919</v>
      </c>
      <c r="D31" s="60"/>
    </row>
    <row r="32" spans="2:16">
      <c r="B32" s="47" t="s">
        <v>4671</v>
      </c>
      <c r="C32" s="41" t="s">
        <v>2921</v>
      </c>
      <c r="D32" s="60"/>
    </row>
    <row r="33" spans="2:4" ht="60">
      <c r="B33" s="47" t="s">
        <v>4672</v>
      </c>
      <c r="C33" s="41" t="s">
        <v>2923</v>
      </c>
      <c r="D33" s="63"/>
    </row>
    <row r="34" spans="2:4">
      <c r="B34" s="47" t="s">
        <v>4644</v>
      </c>
      <c r="C34" s="44" t="s">
        <v>2878</v>
      </c>
      <c r="D34" s="46"/>
    </row>
    <row r="35" spans="2:4" ht="60">
      <c r="B35" s="49" t="s">
        <v>4709</v>
      </c>
      <c r="C35" s="41" t="s">
        <v>2939</v>
      </c>
      <c r="D35" s="60"/>
    </row>
    <row r="36" spans="2:4" ht="45">
      <c r="B36" s="49" t="s">
        <v>4710</v>
      </c>
      <c r="C36" s="41" t="s">
        <v>2941</v>
      </c>
      <c r="D36" s="60"/>
    </row>
    <row r="37" spans="2:4" ht="45">
      <c r="B37" s="49" t="s">
        <v>4645</v>
      </c>
      <c r="C37" s="41" t="s">
        <v>2959</v>
      </c>
      <c r="D37" s="60"/>
    </row>
    <row r="38" spans="2:4" ht="60">
      <c r="B38" s="49" t="s">
        <v>4646</v>
      </c>
      <c r="C38" s="41" t="s">
        <v>2961</v>
      </c>
      <c r="D38" s="60"/>
    </row>
    <row r="39" spans="2:4" ht="60">
      <c r="B39" s="49" t="s">
        <v>4711</v>
      </c>
      <c r="C39" s="41" t="s">
        <v>2963</v>
      </c>
      <c r="D39" s="60"/>
    </row>
    <row r="40" spans="2:4" ht="75">
      <c r="B40" s="49" t="s">
        <v>4712</v>
      </c>
      <c r="C40" s="41" t="s">
        <v>2965</v>
      </c>
      <c r="D40" s="60"/>
    </row>
    <row r="41" spans="2:4" ht="45">
      <c r="B41" s="49" t="s">
        <v>4649</v>
      </c>
      <c r="C41" s="41" t="s">
        <v>2967</v>
      </c>
      <c r="D41" s="60"/>
    </row>
    <row r="42" spans="2:4" ht="60">
      <c r="B42" s="49" t="s">
        <v>4650</v>
      </c>
      <c r="C42" s="41" t="s">
        <v>2969</v>
      </c>
      <c r="D42" s="51"/>
    </row>
    <row r="43" spans="2:4" ht="30">
      <c r="B43" s="49" t="s">
        <v>4651</v>
      </c>
      <c r="C43" s="41" t="s">
        <v>2971</v>
      </c>
      <c r="D43" s="60"/>
    </row>
    <row r="44" spans="2:4" ht="45">
      <c r="B44" s="49" t="s">
        <v>4673</v>
      </c>
      <c r="C44" s="41" t="s">
        <v>2973</v>
      </c>
      <c r="D44" s="63"/>
    </row>
    <row r="45" spans="2:4" ht="30">
      <c r="B45" s="47" t="s">
        <v>4674</v>
      </c>
      <c r="C45" s="44" t="s">
        <v>2878</v>
      </c>
      <c r="D45" s="46"/>
    </row>
    <row r="46" spans="2:4" ht="60">
      <c r="B46" s="49" t="s">
        <v>4675</v>
      </c>
      <c r="C46" s="41" t="s">
        <v>2977</v>
      </c>
      <c r="D46" s="60"/>
    </row>
    <row r="47" spans="2:4" ht="150">
      <c r="B47" s="49" t="s">
        <v>4676</v>
      </c>
      <c r="C47" s="41" t="s">
        <v>2979</v>
      </c>
      <c r="D47" s="60"/>
    </row>
    <row r="48" spans="2:4" ht="105">
      <c r="B48" s="49" t="s">
        <v>4677</v>
      </c>
      <c r="C48" s="41" t="s">
        <v>2981</v>
      </c>
      <c r="D48" s="60"/>
    </row>
    <row r="49" spans="2:16" ht="120">
      <c r="B49" s="49" t="s">
        <v>4678</v>
      </c>
      <c r="C49" s="41" t="s">
        <v>2983</v>
      </c>
      <c r="D49" s="60"/>
    </row>
    <row r="50" spans="2:16" ht="60">
      <c r="B50" s="49" t="s">
        <v>4679</v>
      </c>
      <c r="C50" s="41" t="s">
        <v>2985</v>
      </c>
      <c r="D50" s="60"/>
    </row>
    <row r="51" spans="2:16" ht="30">
      <c r="B51" s="49" t="s">
        <v>4680</v>
      </c>
      <c r="C51" s="41" t="s">
        <v>2987</v>
      </c>
      <c r="D51" s="63"/>
    </row>
    <row r="52" spans="2:16">
      <c r="B52" s="47" t="s">
        <v>4681</v>
      </c>
      <c r="C52" s="44" t="s">
        <v>2878</v>
      </c>
      <c r="D52" s="46"/>
    </row>
    <row r="53" spans="2:16" ht="30">
      <c r="B53" s="49" t="s">
        <v>4682</v>
      </c>
      <c r="C53" s="41" t="s">
        <v>2989</v>
      </c>
      <c r="D53" s="60"/>
    </row>
    <row r="54" spans="2:16" ht="30">
      <c r="B54" s="49" t="s">
        <v>4643</v>
      </c>
      <c r="C54" s="41" t="s">
        <v>2991</v>
      </c>
      <c r="D54" s="60"/>
    </row>
    <row r="56" spans="2:16">
      <c r="O56" s="13" t="str">
        <f>Show!$B$122&amp;Show!$B$122&amp;"S.25.02.04.02 Rows {"&amp;COLUMN($C$1)&amp;"}"</f>
        <v>!!S.25.02.04.02 Rows {3}</v>
      </c>
      <c r="P56" s="13" t="str">
        <f>Show!$B$122&amp;Show!$B$122&amp;"S.25.02.04.02 Columns {"&amp;COLUMN($D$1)&amp;"}"</f>
        <v>!!S.25.02.04.02 Columns {4}</v>
      </c>
    </row>
  </sheetData>
  <sheetProtection sheet="1" objects="1" scenarios="1"/>
  <mergeCells count="6">
    <mergeCell ref="D21:D24"/>
    <mergeCell ref="B2:O2"/>
    <mergeCell ref="B5:L5"/>
    <mergeCell ref="B9:B11"/>
    <mergeCell ref="C9:G10"/>
    <mergeCell ref="B17:L17"/>
  </mergeCells>
  <dataValidations count="2">
    <dataValidation type="list" errorStyle="warning" allowBlank="1" showInputMessage="1" showErrorMessage="1" sqref="F13" xr:uid="{A842545D-BD39-4384-AC3C-196DD1A7A7FF}">
      <formula1>hier_AP_14</formula1>
    </dataValidation>
    <dataValidation type="list" errorStyle="warning" allowBlank="1" showInputMessage="1" showErrorMessage="1" sqref="D42" xr:uid="{788CFF19-4E6C-4A15-B2CB-E573A59863DC}">
      <formula1>hier_AP_18</formula1>
    </dataValidation>
  </dataValidations>
  <pageMargins left="0.7" right="0.7" top="0.75" bottom="0.75" header="0.3" footer="0.3"/>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5C7B5-3C0C-4950-BB6C-5AB5AFA503E1}">
  <sheetPr codeName="Blad127"/>
  <dimension ref="B2:P74"/>
  <sheetViews>
    <sheetView showGridLines="0" workbookViewId="0"/>
  </sheetViews>
  <sheetFormatPr defaultRowHeight="15"/>
  <cols>
    <col min="2" max="2" width="28.28515625" bestFit="1" customWidth="1"/>
    <col min="3" max="3" width="40.7109375" customWidth="1"/>
    <col min="4" max="5" width="15.7109375" customWidth="1"/>
    <col min="6" max="7" width="40.7109375" customWidth="1"/>
  </cols>
  <sheetData>
    <row r="2" spans="2:16" ht="23.25">
      <c r="B2" s="86" t="s">
        <v>695</v>
      </c>
      <c r="C2" s="87"/>
      <c r="D2" s="87"/>
      <c r="E2" s="87"/>
      <c r="F2" s="87"/>
      <c r="G2" s="87"/>
      <c r="H2" s="87"/>
      <c r="I2" s="87"/>
      <c r="J2" s="87"/>
      <c r="K2" s="87"/>
      <c r="L2" s="87"/>
      <c r="M2" s="87"/>
      <c r="N2" s="87"/>
      <c r="O2" s="87"/>
    </row>
    <row r="5" spans="2:16" ht="18.75">
      <c r="B5" s="88" t="s">
        <v>4724</v>
      </c>
      <c r="C5" s="87"/>
      <c r="D5" s="87"/>
      <c r="E5" s="87"/>
      <c r="F5" s="87"/>
      <c r="G5" s="87"/>
      <c r="H5" s="87"/>
      <c r="I5" s="87"/>
      <c r="J5" s="87"/>
      <c r="K5" s="87"/>
      <c r="L5" s="87"/>
    </row>
    <row r="9" spans="2:16">
      <c r="B9" s="89" t="s">
        <v>4701</v>
      </c>
      <c r="C9" s="92" t="s">
        <v>2877</v>
      </c>
      <c r="D9" s="93"/>
      <c r="E9" s="93"/>
      <c r="F9" s="93"/>
      <c r="G9" s="94"/>
    </row>
    <row r="10" spans="2:16">
      <c r="B10" s="90"/>
      <c r="C10" s="95"/>
      <c r="D10" s="96"/>
      <c r="E10" s="96"/>
      <c r="F10" s="96"/>
      <c r="G10" s="97"/>
    </row>
    <row r="11" spans="2:16" ht="60">
      <c r="B11" s="91"/>
      <c r="C11" s="55" t="s">
        <v>4702</v>
      </c>
      <c r="D11" s="55" t="s">
        <v>4703</v>
      </c>
      <c r="E11" s="55" t="s">
        <v>4705</v>
      </c>
      <c r="F11" s="55" t="s">
        <v>4687</v>
      </c>
      <c r="G11" s="55" t="s">
        <v>4684</v>
      </c>
    </row>
    <row r="12" spans="2:16">
      <c r="B12" s="42" t="s">
        <v>2879</v>
      </c>
      <c r="C12" s="42" t="s">
        <v>3219</v>
      </c>
      <c r="D12" s="42" t="s">
        <v>3225</v>
      </c>
      <c r="E12" s="42" t="s">
        <v>3233</v>
      </c>
      <c r="F12" s="42" t="s">
        <v>3236</v>
      </c>
      <c r="G12" s="42" t="s">
        <v>3243</v>
      </c>
      <c r="O12" s="13" t="str">
        <f>Show!$B$123&amp;"S.25.02.21.01 Rows {"&amp;COLUMN($B$1)&amp;"}"&amp;"@ForceFilingCode:true"</f>
        <v>!S.25.02.21.01 Rows {2}@ForceFilingCode:true</v>
      </c>
      <c r="P12" s="13" t="str">
        <f>Show!$B$123&amp;"S.25.02.21.01 Columns {"&amp;COLUMN($B$1)&amp;"}"</f>
        <v>!S.25.02.21.01 Columns {2}</v>
      </c>
    </row>
    <row r="13" spans="2:16">
      <c r="B13" s="50"/>
      <c r="C13" s="51"/>
      <c r="D13" s="60"/>
      <c r="E13" s="60"/>
      <c r="F13" s="51"/>
      <c r="G13" s="51"/>
    </row>
    <row r="15" spans="2:16">
      <c r="O15" s="13" t="str">
        <f>Show!$B$123&amp;Show!$B$123&amp;"S.25.02.21.01 Rows {"&amp;COLUMN($B$1)&amp;"}"</f>
        <v>!!S.25.02.21.01 Rows {2}</v>
      </c>
      <c r="P15" s="13" t="str">
        <f>Show!$B$123&amp;Show!$B$123&amp;"S.25.02.21.01 Columns {"&amp;COLUMN($G$1)&amp;"}"</f>
        <v>!!S.25.02.21.01 Columns {7}</v>
      </c>
    </row>
    <row r="17" spans="2:16" ht="18.75">
      <c r="B17" s="88" t="s">
        <v>4725</v>
      </c>
      <c r="C17" s="87"/>
      <c r="D17" s="87"/>
      <c r="E17" s="87"/>
      <c r="F17" s="87"/>
      <c r="G17" s="87"/>
      <c r="H17" s="87"/>
      <c r="I17" s="87"/>
      <c r="J17" s="87"/>
      <c r="K17" s="87"/>
      <c r="L17" s="87"/>
    </row>
    <row r="21" spans="2:16">
      <c r="D21" s="89" t="s">
        <v>2877</v>
      </c>
    </row>
    <row r="22" spans="2:16">
      <c r="D22" s="90"/>
    </row>
    <row r="23" spans="2:16">
      <c r="D23" s="90"/>
    </row>
    <row r="24" spans="2:16">
      <c r="D24" s="91"/>
    </row>
    <row r="25" spans="2:16">
      <c r="D25" s="45" t="s">
        <v>3239</v>
      </c>
      <c r="O25" s="13" t="str">
        <f>Show!$B$123&amp;"S.25.02.21.02 Rows {"&amp;COLUMN($C$1)&amp;"}"&amp;"@ForceFilingCode:true"</f>
        <v>!S.25.02.21.02 Rows {3}@ForceFilingCode:true</v>
      </c>
      <c r="P25" s="13" t="str">
        <f>Show!$B$123&amp;"S.25.02.21.02 Columns {"&amp;COLUMN($D$1)&amp;"}"</f>
        <v>!S.25.02.21.02 Columns {4}</v>
      </c>
    </row>
    <row r="26" spans="2:16">
      <c r="B26" s="43" t="s">
        <v>2880</v>
      </c>
      <c r="C26" s="44" t="s">
        <v>2878</v>
      </c>
      <c r="D26" s="46"/>
    </row>
    <row r="27" spans="2:16" ht="30">
      <c r="B27" s="47" t="s">
        <v>4707</v>
      </c>
      <c r="C27" s="41" t="s">
        <v>2901</v>
      </c>
      <c r="D27" s="60"/>
    </row>
    <row r="28" spans="2:16">
      <c r="B28" s="47" t="s">
        <v>4631</v>
      </c>
      <c r="C28" s="41" t="s">
        <v>2891</v>
      </c>
      <c r="D28" s="60"/>
    </row>
    <row r="29" spans="2:16" ht="60">
      <c r="B29" s="47" t="s">
        <v>4640</v>
      </c>
      <c r="C29" s="41" t="s">
        <v>2911</v>
      </c>
      <c r="D29" s="60"/>
    </row>
    <row r="30" spans="2:16" ht="45">
      <c r="B30" s="47" t="s">
        <v>4708</v>
      </c>
      <c r="C30" s="41" t="s">
        <v>2919</v>
      </c>
      <c r="D30" s="60"/>
    </row>
    <row r="31" spans="2:16">
      <c r="B31" s="47" t="s">
        <v>4671</v>
      </c>
      <c r="C31" s="41" t="s">
        <v>2921</v>
      </c>
      <c r="D31" s="60"/>
    </row>
    <row r="32" spans="2:16" ht="30">
      <c r="B32" s="47" t="s">
        <v>4643</v>
      </c>
      <c r="C32" s="41" t="s">
        <v>2923</v>
      </c>
      <c r="D32" s="63"/>
    </row>
    <row r="33" spans="2:16">
      <c r="B33" s="47" t="s">
        <v>4644</v>
      </c>
      <c r="C33" s="44" t="s">
        <v>2878</v>
      </c>
      <c r="D33" s="46"/>
    </row>
    <row r="34" spans="2:16" ht="60">
      <c r="B34" s="49" t="s">
        <v>4709</v>
      </c>
      <c r="C34" s="41" t="s">
        <v>2939</v>
      </c>
      <c r="D34" s="60"/>
    </row>
    <row r="35" spans="2:16" ht="45">
      <c r="B35" s="49" t="s">
        <v>4710</v>
      </c>
      <c r="C35" s="41" t="s">
        <v>2941</v>
      </c>
      <c r="D35" s="60"/>
    </row>
    <row r="36" spans="2:16" ht="45">
      <c r="B36" s="49" t="s">
        <v>4645</v>
      </c>
      <c r="C36" s="41" t="s">
        <v>2959</v>
      </c>
      <c r="D36" s="60"/>
    </row>
    <row r="37" spans="2:16" ht="60">
      <c r="B37" s="49" t="s">
        <v>4646</v>
      </c>
      <c r="C37" s="41" t="s">
        <v>2961</v>
      </c>
      <c r="D37" s="60"/>
    </row>
    <row r="38" spans="2:16" ht="60">
      <c r="B38" s="49" t="s">
        <v>4711</v>
      </c>
      <c r="C38" s="41" t="s">
        <v>2963</v>
      </c>
      <c r="D38" s="60"/>
    </row>
    <row r="39" spans="2:16" ht="75">
      <c r="B39" s="49" t="s">
        <v>4712</v>
      </c>
      <c r="C39" s="41" t="s">
        <v>2965</v>
      </c>
      <c r="D39" s="60"/>
    </row>
    <row r="40" spans="2:16" ht="45">
      <c r="B40" s="49" t="s">
        <v>4649</v>
      </c>
      <c r="C40" s="41" t="s">
        <v>2967</v>
      </c>
      <c r="D40" s="60"/>
    </row>
    <row r="42" spans="2:16">
      <c r="O42" s="13" t="str">
        <f>Show!$B$123&amp;Show!$B$123&amp;"S.25.02.21.02 Rows {"&amp;COLUMN($C$1)&amp;"}"</f>
        <v>!!S.25.02.21.02 Rows {3}</v>
      </c>
      <c r="P42" s="13" t="str">
        <f>Show!$B$123&amp;Show!$B$123&amp;"S.25.02.21.02 Columns {"&amp;COLUMN($D$1)&amp;"}"</f>
        <v>!!S.25.02.21.02 Columns {4}</v>
      </c>
    </row>
    <row r="44" spans="2:16" ht="18.75">
      <c r="B44" s="88" t="s">
        <v>4726</v>
      </c>
      <c r="C44" s="87"/>
      <c r="D44" s="87"/>
      <c r="E44" s="87"/>
      <c r="F44" s="87"/>
      <c r="G44" s="87"/>
      <c r="H44" s="87"/>
      <c r="I44" s="87"/>
      <c r="J44" s="87"/>
      <c r="K44" s="87"/>
      <c r="L44" s="87"/>
    </row>
    <row r="48" spans="2:16">
      <c r="D48" s="89" t="s">
        <v>2877</v>
      </c>
    </row>
    <row r="49" spans="2:16">
      <c r="D49" s="91"/>
    </row>
    <row r="50" spans="2:16">
      <c r="D50" s="55" t="s">
        <v>4653</v>
      </c>
    </row>
    <row r="51" spans="2:16">
      <c r="D51" s="45" t="s">
        <v>4654</v>
      </c>
      <c r="O51" s="13" t="str">
        <f>Show!$B$123&amp;"S.25.02.21.03 Rows {"&amp;COLUMN($C$1)&amp;"}"&amp;"@ForceFilingCode:true"</f>
        <v>!S.25.02.21.03 Rows {3}@ForceFilingCode:true</v>
      </c>
      <c r="P51" s="13" t="str">
        <f>Show!$B$123&amp;"S.25.02.21.03 Columns {"&amp;COLUMN($D$1)&amp;"}"</f>
        <v>!S.25.02.21.03 Columns {4}</v>
      </c>
    </row>
    <row r="52" spans="2:16">
      <c r="B52" s="43" t="s">
        <v>2880</v>
      </c>
      <c r="C52" s="44" t="s">
        <v>2878</v>
      </c>
      <c r="D52" s="46"/>
    </row>
    <row r="53" spans="2:16" ht="30">
      <c r="B53" s="47" t="s">
        <v>2562</v>
      </c>
      <c r="C53" s="41" t="s">
        <v>2995</v>
      </c>
      <c r="D53" s="51"/>
    </row>
    <row r="55" spans="2:16">
      <c r="O55" s="13" t="str">
        <f>Show!$B$123&amp;Show!$B$123&amp;"S.25.02.21.03 Rows {"&amp;COLUMN($C$1)&amp;"}"</f>
        <v>!!S.25.02.21.03 Rows {3}</v>
      </c>
      <c r="P55" s="13" t="str">
        <f>Show!$B$123&amp;Show!$B$123&amp;"S.25.02.21.03 Columns {"&amp;COLUMN($D$1)&amp;"}"</f>
        <v>!!S.25.02.21.03 Columns {4}</v>
      </c>
    </row>
    <row r="57" spans="2:16" ht="18.75">
      <c r="B57" s="88" t="s">
        <v>4727</v>
      </c>
      <c r="C57" s="87"/>
      <c r="D57" s="87"/>
      <c r="E57" s="87"/>
      <c r="F57" s="87"/>
      <c r="G57" s="87"/>
      <c r="H57" s="87"/>
      <c r="I57" s="87"/>
      <c r="J57" s="87"/>
      <c r="K57" s="87"/>
      <c r="L57" s="87"/>
    </row>
    <row r="61" spans="2:16">
      <c r="D61" s="89" t="s">
        <v>2877</v>
      </c>
    </row>
    <row r="62" spans="2:16">
      <c r="D62" s="91"/>
    </row>
    <row r="63" spans="2:16">
      <c r="D63" s="89" t="s">
        <v>4663</v>
      </c>
    </row>
    <row r="64" spans="2:16">
      <c r="D64" s="91"/>
    </row>
    <row r="65" spans="2:16">
      <c r="D65" s="45" t="s">
        <v>3375</v>
      </c>
      <c r="O65" s="13" t="str">
        <f>Show!$B$123&amp;"S.25.02.21.05 Rows {"&amp;COLUMN($C$1)&amp;"}"&amp;"@ForceFilingCode:true"</f>
        <v>!S.25.02.21.05 Rows {3}@ForceFilingCode:true</v>
      </c>
      <c r="P65" s="13" t="str">
        <f>Show!$B$123&amp;"S.25.02.21.05 Columns {"&amp;COLUMN($D$1)&amp;"}"</f>
        <v>!S.25.02.21.05 Columns {4}</v>
      </c>
    </row>
    <row r="66" spans="2:16">
      <c r="B66" s="43" t="s">
        <v>2880</v>
      </c>
      <c r="C66" s="44" t="s">
        <v>2878</v>
      </c>
      <c r="D66" s="46"/>
    </row>
    <row r="67" spans="2:16" ht="30">
      <c r="B67" s="47" t="s">
        <v>4716</v>
      </c>
      <c r="C67" s="41" t="s">
        <v>3005</v>
      </c>
      <c r="D67" s="60"/>
    </row>
    <row r="68" spans="2:16" ht="45">
      <c r="B68" s="49" t="s">
        <v>4717</v>
      </c>
      <c r="C68" s="41" t="s">
        <v>3007</v>
      </c>
      <c r="D68" s="60"/>
    </row>
    <row r="69" spans="2:16" ht="60">
      <c r="B69" s="49" t="s">
        <v>4718</v>
      </c>
      <c r="C69" s="41" t="s">
        <v>3009</v>
      </c>
      <c r="D69" s="60"/>
    </row>
    <row r="70" spans="2:16" ht="45">
      <c r="B70" s="49" t="s">
        <v>4719</v>
      </c>
      <c r="C70" s="41" t="s">
        <v>3011</v>
      </c>
      <c r="D70" s="60"/>
    </row>
    <row r="71" spans="2:16" ht="45">
      <c r="B71" s="49" t="s">
        <v>4720</v>
      </c>
      <c r="C71" s="41" t="s">
        <v>3013</v>
      </c>
      <c r="D71" s="60"/>
    </row>
    <row r="72" spans="2:16" ht="30">
      <c r="B72" s="49" t="s">
        <v>4721</v>
      </c>
      <c r="C72" s="41" t="s">
        <v>3015</v>
      </c>
      <c r="D72" s="60"/>
    </row>
    <row r="74" spans="2:16">
      <c r="O74" s="13" t="str">
        <f>Show!$B$123&amp;Show!$B$123&amp;"S.25.02.21.05 Rows {"&amp;COLUMN($C$1)&amp;"}"</f>
        <v>!!S.25.02.21.05 Rows {3}</v>
      </c>
      <c r="P74" s="13" t="str">
        <f>Show!$B$123&amp;Show!$B$123&amp;"S.25.02.21.05 Columns {"&amp;COLUMN($D$1)&amp;"}"</f>
        <v>!!S.25.02.21.05 Columns {4}</v>
      </c>
    </row>
  </sheetData>
  <sheetProtection sheet="1" objects="1" scenarios="1"/>
  <mergeCells count="11">
    <mergeCell ref="D21:D24"/>
    <mergeCell ref="B2:O2"/>
    <mergeCell ref="B5:L5"/>
    <mergeCell ref="B9:B11"/>
    <mergeCell ref="C9:G10"/>
    <mergeCell ref="B17:L17"/>
    <mergeCell ref="B44:L44"/>
    <mergeCell ref="D48:D49"/>
    <mergeCell ref="B57:L57"/>
    <mergeCell ref="D61:D62"/>
    <mergeCell ref="D63:D64"/>
  </mergeCells>
  <dataValidations count="1">
    <dataValidation type="list" errorStyle="warning" allowBlank="1" showInputMessage="1" showErrorMessage="1" sqref="D53" xr:uid="{A2BFCF30-FCF5-4D7B-9B73-2D1CBBC90FB6}">
      <formula1>hier_AP_24</formula1>
    </dataValidation>
  </dataValidations>
  <pageMargins left="0.7" right="0.7" top="0.75" bottom="0.75"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3AE15-DEB9-4EA4-90C2-3D191C018396}">
  <sheetPr codeName="Blad128"/>
  <dimension ref="B2:P53"/>
  <sheetViews>
    <sheetView showGridLines="0" workbookViewId="0"/>
  </sheetViews>
  <sheetFormatPr defaultRowHeight="15"/>
  <cols>
    <col min="2" max="2" width="28.28515625" bestFit="1" customWidth="1"/>
    <col min="3" max="3" width="40.7109375" customWidth="1"/>
    <col min="4" max="5" width="15.7109375" customWidth="1"/>
    <col min="6" max="7" width="40.7109375" customWidth="1"/>
  </cols>
  <sheetData>
    <row r="2" spans="2:16" ht="23.25">
      <c r="B2" s="86" t="s">
        <v>697</v>
      </c>
      <c r="C2" s="87"/>
      <c r="D2" s="87"/>
      <c r="E2" s="87"/>
      <c r="F2" s="87"/>
      <c r="G2" s="87"/>
      <c r="H2" s="87"/>
      <c r="I2" s="87"/>
      <c r="J2" s="87"/>
      <c r="K2" s="87"/>
      <c r="L2" s="87"/>
      <c r="M2" s="87"/>
      <c r="N2" s="87"/>
      <c r="O2" s="87"/>
    </row>
    <row r="5" spans="2:16" ht="18.75">
      <c r="B5" s="88" t="s">
        <v>4728</v>
      </c>
      <c r="C5" s="87"/>
      <c r="D5" s="87"/>
      <c r="E5" s="87"/>
      <c r="F5" s="87"/>
      <c r="G5" s="87"/>
      <c r="H5" s="87"/>
      <c r="I5" s="87"/>
      <c r="J5" s="87"/>
      <c r="K5" s="87"/>
      <c r="L5" s="87"/>
    </row>
    <row r="9" spans="2:16">
      <c r="B9" s="89" t="s">
        <v>4701</v>
      </c>
      <c r="C9" s="92" t="s">
        <v>2877</v>
      </c>
      <c r="D9" s="93"/>
      <c r="E9" s="93"/>
      <c r="F9" s="93"/>
      <c r="G9" s="94"/>
    </row>
    <row r="10" spans="2:16">
      <c r="B10" s="90"/>
      <c r="C10" s="95"/>
      <c r="D10" s="96"/>
      <c r="E10" s="96"/>
      <c r="F10" s="96"/>
      <c r="G10" s="97"/>
    </row>
    <row r="11" spans="2:16" ht="60">
      <c r="B11" s="91"/>
      <c r="C11" s="55" t="s">
        <v>4702</v>
      </c>
      <c r="D11" s="55" t="s">
        <v>4703</v>
      </c>
      <c r="E11" s="55" t="s">
        <v>4705</v>
      </c>
      <c r="F11" s="55" t="s">
        <v>4687</v>
      </c>
      <c r="G11" s="55" t="s">
        <v>4684</v>
      </c>
    </row>
    <row r="12" spans="2:16">
      <c r="B12" s="42" t="s">
        <v>2879</v>
      </c>
      <c r="C12" s="42" t="s">
        <v>3219</v>
      </c>
      <c r="D12" s="42" t="s">
        <v>3225</v>
      </c>
      <c r="E12" s="42" t="s">
        <v>3233</v>
      </c>
      <c r="F12" s="42" t="s">
        <v>3236</v>
      </c>
      <c r="G12" s="42" t="s">
        <v>3243</v>
      </c>
      <c r="O12" s="13" t="str">
        <f>Show!$B$124&amp;"S.25.02.22.01 Rows {"&amp;COLUMN($B$1)&amp;"}"&amp;"@ForceFilingCode:true"</f>
        <v>!S.25.02.22.01 Rows {2}@ForceFilingCode:true</v>
      </c>
      <c r="P12" s="13" t="str">
        <f>Show!$B$124&amp;"S.25.02.22.01 Columns {"&amp;COLUMN($B$1)&amp;"}"</f>
        <v>!S.25.02.22.01 Columns {2}</v>
      </c>
    </row>
    <row r="13" spans="2:16">
      <c r="B13" s="50"/>
      <c r="C13" s="51"/>
      <c r="D13" s="60"/>
      <c r="E13" s="60"/>
      <c r="F13" s="51"/>
      <c r="G13" s="51"/>
    </row>
    <row r="15" spans="2:16">
      <c r="O15" s="13" t="str">
        <f>Show!$B$124&amp;Show!$B$124&amp;"S.25.02.22.01 Rows {"&amp;COLUMN($B$1)&amp;"}"</f>
        <v>!!S.25.02.22.01 Rows {2}</v>
      </c>
      <c r="P15" s="13" t="str">
        <f>Show!$B$124&amp;Show!$B$124&amp;"S.25.02.22.01 Columns {"&amp;COLUMN($G$1)&amp;"}"</f>
        <v>!!S.25.02.22.01 Columns {7}</v>
      </c>
    </row>
    <row r="17" spans="2:16" ht="18.75">
      <c r="B17" s="88" t="s">
        <v>4729</v>
      </c>
      <c r="C17" s="87"/>
      <c r="D17" s="87"/>
      <c r="E17" s="87"/>
      <c r="F17" s="87"/>
      <c r="G17" s="87"/>
      <c r="H17" s="87"/>
      <c r="I17" s="87"/>
      <c r="J17" s="87"/>
      <c r="K17" s="87"/>
      <c r="L17" s="87"/>
    </row>
    <row r="21" spans="2:16">
      <c r="D21" s="89" t="s">
        <v>2877</v>
      </c>
    </row>
    <row r="22" spans="2:16">
      <c r="D22" s="90"/>
    </row>
    <row r="23" spans="2:16">
      <c r="D23" s="90"/>
    </row>
    <row r="24" spans="2:16">
      <c r="D24" s="91"/>
    </row>
    <row r="25" spans="2:16">
      <c r="D25" s="45" t="s">
        <v>3239</v>
      </c>
      <c r="O25" s="13" t="str">
        <f>Show!$B$124&amp;"S.25.02.22.02 Rows {"&amp;COLUMN($C$1)&amp;"}"&amp;"@ForceFilingCode:true"</f>
        <v>!S.25.02.22.02 Rows {3}@ForceFilingCode:true</v>
      </c>
      <c r="P25" s="13" t="str">
        <f>Show!$B$124&amp;"S.25.02.22.02 Columns {"&amp;COLUMN($D$1)&amp;"}"</f>
        <v>!S.25.02.22.02 Columns {4}</v>
      </c>
    </row>
    <row r="26" spans="2:16">
      <c r="B26" s="43" t="s">
        <v>2880</v>
      </c>
      <c r="C26" s="44" t="s">
        <v>2878</v>
      </c>
      <c r="D26" s="46"/>
    </row>
    <row r="27" spans="2:16" ht="30">
      <c r="B27" s="47" t="s">
        <v>4707</v>
      </c>
      <c r="C27" s="41" t="s">
        <v>2901</v>
      </c>
      <c r="D27" s="60"/>
    </row>
    <row r="28" spans="2:16">
      <c r="B28" s="47" t="s">
        <v>4631</v>
      </c>
      <c r="C28" s="41" t="s">
        <v>2891</v>
      </c>
      <c r="D28" s="60"/>
    </row>
    <row r="29" spans="2:16" ht="60">
      <c r="B29" s="47" t="s">
        <v>4640</v>
      </c>
      <c r="C29" s="41" t="s">
        <v>2911</v>
      </c>
      <c r="D29" s="60"/>
    </row>
    <row r="30" spans="2:16" ht="45">
      <c r="B30" s="47" t="s">
        <v>4708</v>
      </c>
      <c r="C30" s="41" t="s">
        <v>2919</v>
      </c>
      <c r="D30" s="60"/>
    </row>
    <row r="31" spans="2:16">
      <c r="B31" s="47" t="s">
        <v>4671</v>
      </c>
      <c r="C31" s="41" t="s">
        <v>2921</v>
      </c>
      <c r="D31" s="60"/>
    </row>
    <row r="32" spans="2:16" ht="60">
      <c r="B32" s="47" t="s">
        <v>4672</v>
      </c>
      <c r="C32" s="41" t="s">
        <v>2923</v>
      </c>
      <c r="D32" s="63"/>
    </row>
    <row r="33" spans="2:4">
      <c r="B33" s="47" t="s">
        <v>4644</v>
      </c>
      <c r="C33" s="44" t="s">
        <v>2878</v>
      </c>
      <c r="D33" s="46"/>
    </row>
    <row r="34" spans="2:4" ht="60">
      <c r="B34" s="49" t="s">
        <v>4709</v>
      </c>
      <c r="C34" s="41" t="s">
        <v>2939</v>
      </c>
      <c r="D34" s="60"/>
    </row>
    <row r="35" spans="2:4" ht="45">
      <c r="B35" s="49" t="s">
        <v>4710</v>
      </c>
      <c r="C35" s="41" t="s">
        <v>2941</v>
      </c>
      <c r="D35" s="60"/>
    </row>
    <row r="36" spans="2:4" ht="45">
      <c r="B36" s="49" t="s">
        <v>4645</v>
      </c>
      <c r="C36" s="41" t="s">
        <v>2959</v>
      </c>
      <c r="D36" s="60"/>
    </row>
    <row r="37" spans="2:4" ht="60">
      <c r="B37" s="49" t="s">
        <v>4646</v>
      </c>
      <c r="C37" s="41" t="s">
        <v>2961</v>
      </c>
      <c r="D37" s="60"/>
    </row>
    <row r="38" spans="2:4" ht="60">
      <c r="B38" s="49" t="s">
        <v>4711</v>
      </c>
      <c r="C38" s="41" t="s">
        <v>2963</v>
      </c>
      <c r="D38" s="60"/>
    </row>
    <row r="39" spans="2:4" ht="75">
      <c r="B39" s="49" t="s">
        <v>4712</v>
      </c>
      <c r="C39" s="41" t="s">
        <v>2965</v>
      </c>
      <c r="D39" s="60"/>
    </row>
    <row r="40" spans="2:4" ht="45">
      <c r="B40" s="49" t="s">
        <v>4649</v>
      </c>
      <c r="C40" s="41" t="s">
        <v>2967</v>
      </c>
      <c r="D40" s="60"/>
    </row>
    <row r="41" spans="2:4" ht="45">
      <c r="B41" s="49" t="s">
        <v>4673</v>
      </c>
      <c r="C41" s="41" t="s">
        <v>2973</v>
      </c>
      <c r="D41" s="63"/>
    </row>
    <row r="42" spans="2:4" ht="30">
      <c r="B42" s="47" t="s">
        <v>4674</v>
      </c>
      <c r="C42" s="44" t="s">
        <v>2878</v>
      </c>
      <c r="D42" s="46"/>
    </row>
    <row r="43" spans="2:4" ht="60">
      <c r="B43" s="49" t="s">
        <v>4675</v>
      </c>
      <c r="C43" s="41" t="s">
        <v>2977</v>
      </c>
      <c r="D43" s="60"/>
    </row>
    <row r="44" spans="2:4" ht="150">
      <c r="B44" s="49" t="s">
        <v>4676</v>
      </c>
      <c r="C44" s="41" t="s">
        <v>2979</v>
      </c>
      <c r="D44" s="60"/>
    </row>
    <row r="45" spans="2:4" ht="105">
      <c r="B45" s="49" t="s">
        <v>4677</v>
      </c>
      <c r="C45" s="41" t="s">
        <v>2981</v>
      </c>
      <c r="D45" s="60"/>
    </row>
    <row r="46" spans="2:4" ht="120">
      <c r="B46" s="49" t="s">
        <v>4678</v>
      </c>
      <c r="C46" s="41" t="s">
        <v>2983</v>
      </c>
      <c r="D46" s="60"/>
    </row>
    <row r="47" spans="2:4" ht="60">
      <c r="B47" s="49" t="s">
        <v>4679</v>
      </c>
      <c r="C47" s="41" t="s">
        <v>2985</v>
      </c>
      <c r="D47" s="60"/>
    </row>
    <row r="48" spans="2:4" ht="30">
      <c r="B48" s="49" t="s">
        <v>4680</v>
      </c>
      <c r="C48" s="41" t="s">
        <v>2987</v>
      </c>
      <c r="D48" s="63"/>
    </row>
    <row r="49" spans="2:16">
      <c r="B49" s="47" t="s">
        <v>4681</v>
      </c>
      <c r="C49" s="44" t="s">
        <v>2878</v>
      </c>
      <c r="D49" s="46"/>
    </row>
    <row r="50" spans="2:16" ht="30">
      <c r="B50" s="49" t="s">
        <v>4682</v>
      </c>
      <c r="C50" s="41" t="s">
        <v>2989</v>
      </c>
      <c r="D50" s="60"/>
    </row>
    <row r="51" spans="2:16" ht="30">
      <c r="B51" s="49" t="s">
        <v>4643</v>
      </c>
      <c r="C51" s="41" t="s">
        <v>2991</v>
      </c>
      <c r="D51" s="60"/>
    </row>
    <row r="53" spans="2:16">
      <c r="O53" s="13" t="str">
        <f>Show!$B$124&amp;Show!$B$124&amp;"S.25.02.22.02 Rows {"&amp;COLUMN($C$1)&amp;"}"</f>
        <v>!!S.25.02.22.02 Rows {3}</v>
      </c>
      <c r="P53" s="13" t="str">
        <f>Show!$B$124&amp;Show!$B$124&amp;"S.25.02.22.02 Columns {"&amp;COLUMN($D$1)&amp;"}"</f>
        <v>!!S.25.02.22.02 Columns {4}</v>
      </c>
    </row>
  </sheetData>
  <sheetProtection sheet="1" objects="1" scenarios="1"/>
  <mergeCells count="6">
    <mergeCell ref="D21:D24"/>
    <mergeCell ref="B2:O2"/>
    <mergeCell ref="B5:L5"/>
    <mergeCell ref="B9:B11"/>
    <mergeCell ref="C9:G10"/>
    <mergeCell ref="B17:L17"/>
  </mergeCells>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3555F-F754-43D6-8D73-18A341077084}">
  <sheetPr codeName="Blad129"/>
  <dimension ref="B2:O106"/>
  <sheetViews>
    <sheetView showGridLines="0" workbookViewId="0"/>
  </sheetViews>
  <sheetFormatPr defaultRowHeight="15"/>
  <cols>
    <col min="2" max="2" width="61.85546875" bestFit="1" customWidth="1"/>
    <col min="3" max="3" width="40.7109375" customWidth="1"/>
    <col min="4" max="6" width="15.7109375" customWidth="1"/>
  </cols>
  <sheetData>
    <row r="2" spans="2:15" ht="23.25">
      <c r="B2" s="86" t="s">
        <v>695</v>
      </c>
      <c r="C2" s="87"/>
      <c r="D2" s="87"/>
      <c r="E2" s="87"/>
      <c r="F2" s="87"/>
      <c r="G2" s="87"/>
      <c r="H2" s="87"/>
      <c r="I2" s="87"/>
      <c r="J2" s="87"/>
      <c r="K2" s="87"/>
      <c r="L2" s="87"/>
      <c r="M2" s="87"/>
      <c r="N2" s="87"/>
      <c r="O2" s="87"/>
    </row>
    <row r="5" spans="2:15" ht="18.75">
      <c r="B5" s="88" t="s">
        <v>4730</v>
      </c>
      <c r="C5" s="87"/>
      <c r="D5" s="87"/>
      <c r="E5" s="87"/>
      <c r="F5" s="87"/>
      <c r="G5" s="87"/>
      <c r="H5" s="87"/>
      <c r="I5" s="87"/>
      <c r="J5" s="87"/>
      <c r="K5" s="87"/>
      <c r="L5" s="87"/>
    </row>
    <row r="7" spans="2:15">
      <c r="B7" t="s">
        <v>3110</v>
      </c>
      <c r="N7" s="13" t="str">
        <f>Show!$B$125&amp;"SR.25.02.01.01 Table label {"&amp;COLUMN($C$1)&amp;"}"</f>
        <v>!SR.25.02.01.01 Table label {3}</v>
      </c>
      <c r="O7" s="13" t="str">
        <f>Show!$B$125&amp;"SR.25.02.01.01 Table value {"&amp;COLUMN($D$1)&amp;"}"</f>
        <v>!SR.25.02.01.01 Table value {4}</v>
      </c>
    </row>
    <row r="8" spans="2:15">
      <c r="B8" t="s">
        <v>3111</v>
      </c>
    </row>
    <row r="9" spans="2:15">
      <c r="B9" s="40" t="s">
        <v>3788</v>
      </c>
      <c r="C9" s="53" t="s">
        <v>3115</v>
      </c>
      <c r="D9" s="51"/>
    </row>
    <row r="10" spans="2:15">
      <c r="B10" s="40" t="s">
        <v>3114</v>
      </c>
      <c r="C10" s="53" t="s">
        <v>3323</v>
      </c>
      <c r="D10" s="50"/>
    </row>
    <row r="11" spans="2:15">
      <c r="N11" s="13" t="str">
        <f>Show!$B$125&amp;Show!$B$125&amp;"SR.25.02.01.01 Table label {"&amp;COLUMN($C$1)&amp;"}"</f>
        <v>!!SR.25.02.01.01 Table label {3}</v>
      </c>
      <c r="O11" s="13" t="str">
        <f>Show!$B$125&amp;Show!$B$125&amp;"SR.25.02.01.01 Table value {"&amp;COLUMN($D$1)&amp;"}"</f>
        <v>!!SR.25.02.01.01 Table value {4}</v>
      </c>
    </row>
    <row r="13" spans="2:15">
      <c r="B13" s="89" t="s">
        <v>4701</v>
      </c>
      <c r="C13" s="92" t="s">
        <v>2877</v>
      </c>
      <c r="D13" s="93"/>
      <c r="E13" s="93"/>
      <c r="F13" s="94"/>
    </row>
    <row r="14" spans="2:15">
      <c r="B14" s="90"/>
      <c r="C14" s="95"/>
      <c r="D14" s="96"/>
      <c r="E14" s="96"/>
      <c r="F14" s="97"/>
    </row>
    <row r="15" spans="2:15" ht="135">
      <c r="B15" s="91"/>
      <c r="C15" s="55" t="s">
        <v>4702</v>
      </c>
      <c r="D15" s="55" t="s">
        <v>4703</v>
      </c>
      <c r="E15" s="55" t="s">
        <v>4704</v>
      </c>
      <c r="F15" s="55" t="s">
        <v>4705</v>
      </c>
    </row>
    <row r="16" spans="2:15">
      <c r="B16" s="42" t="s">
        <v>2879</v>
      </c>
      <c r="C16" s="42" t="s">
        <v>3219</v>
      </c>
      <c r="D16" s="42" t="s">
        <v>3225</v>
      </c>
      <c r="E16" s="42" t="s">
        <v>3231</v>
      </c>
      <c r="F16" s="42" t="s">
        <v>3233</v>
      </c>
      <c r="N16" s="13" t="str">
        <f>Show!$B$125&amp;"SR.25.02.01.01 Rows {"&amp;COLUMN($B$1)&amp;"}"&amp;"@ForceFilingCode:true"</f>
        <v>!SR.25.02.01.01 Rows {2}@ForceFilingCode:true</v>
      </c>
      <c r="O16" s="13" t="str">
        <f>Show!$B$125&amp;"SR.25.02.01.01 Columns {"&amp;COLUMN($B$1)&amp;"}"</f>
        <v>!SR.25.02.01.01 Columns {2}</v>
      </c>
    </row>
    <row r="17" spans="2:15">
      <c r="B17" s="50"/>
      <c r="C17" s="51"/>
      <c r="D17" s="60"/>
      <c r="E17" s="51"/>
      <c r="F17" s="60"/>
    </row>
    <row r="19" spans="2:15">
      <c r="N19" s="13" t="str">
        <f>Show!$B$125&amp;Show!$B$125&amp;"SR.25.02.01.01 Rows {"&amp;COLUMN($B$1)&amp;"}"</f>
        <v>!!SR.25.02.01.01 Rows {2}</v>
      </c>
      <c r="O19" s="13" t="str">
        <f>Show!$B$125&amp;Show!$B$125&amp;"SR.25.02.01.01 Columns {"&amp;COLUMN($F$1)&amp;"}"</f>
        <v>!!SR.25.02.01.01 Columns {6}</v>
      </c>
    </row>
    <row r="21" spans="2:15" ht="18.75">
      <c r="B21" s="88" t="s">
        <v>4731</v>
      </c>
      <c r="C21" s="87"/>
      <c r="D21" s="87"/>
      <c r="E21" s="87"/>
      <c r="F21" s="87"/>
      <c r="G21" s="87"/>
      <c r="H21" s="87"/>
      <c r="I21" s="87"/>
      <c r="J21" s="87"/>
      <c r="K21" s="87"/>
      <c r="L21" s="87"/>
    </row>
    <row r="23" spans="2:15">
      <c r="B23" t="s">
        <v>3110</v>
      </c>
      <c r="N23" s="13" t="str">
        <f>Show!$B$125&amp;"SR.25.02.01.02 Table label {"&amp;COLUMN($C$1)&amp;"}"</f>
        <v>!SR.25.02.01.02 Table label {3}</v>
      </c>
      <c r="O23" s="13" t="str">
        <f>Show!$B$125&amp;"SR.25.02.01.02 Table value {"&amp;COLUMN($D$1)&amp;"}"</f>
        <v>!SR.25.02.01.02 Table value {4}</v>
      </c>
    </row>
    <row r="24" spans="2:15">
      <c r="B24" t="s">
        <v>3111</v>
      </c>
    </row>
    <row r="25" spans="2:15">
      <c r="B25" s="40" t="s">
        <v>3788</v>
      </c>
      <c r="C25" s="53" t="s">
        <v>3115</v>
      </c>
      <c r="D25" s="51"/>
    </row>
    <row r="26" spans="2:15">
      <c r="B26" s="40" t="s">
        <v>3114</v>
      </c>
      <c r="C26" s="53" t="s">
        <v>3323</v>
      </c>
      <c r="D26" s="50"/>
    </row>
    <row r="27" spans="2:15">
      <c r="N27" s="13" t="str">
        <f>Show!$B$125&amp;Show!$B$125&amp;"SR.25.02.01.02 Table label {"&amp;COLUMN($C$1)&amp;"}"</f>
        <v>!!SR.25.02.01.02 Table label {3}</v>
      </c>
      <c r="O27" s="13" t="str">
        <f>Show!$B$125&amp;Show!$B$125&amp;"SR.25.02.01.02 Table value {"&amp;COLUMN($D$1)&amp;"}"</f>
        <v>!!SR.25.02.01.02 Table value {4}</v>
      </c>
    </row>
    <row r="29" spans="2:15">
      <c r="D29" s="89" t="s">
        <v>2877</v>
      </c>
    </row>
    <row r="30" spans="2:15">
      <c r="D30" s="90"/>
    </row>
    <row r="31" spans="2:15">
      <c r="D31" s="90"/>
    </row>
    <row r="32" spans="2:15">
      <c r="D32" s="91"/>
    </row>
    <row r="33" spans="2:15">
      <c r="D33" s="45" t="s">
        <v>3239</v>
      </c>
      <c r="N33" s="13" t="str">
        <f>Show!$B$125&amp;"SR.25.02.01.02 Rows {"&amp;COLUMN($C$1)&amp;"}"&amp;"@ForceFilingCode:true"</f>
        <v>!SR.25.02.01.02 Rows {3}@ForceFilingCode:true</v>
      </c>
      <c r="O33" s="13" t="str">
        <f>Show!$B$125&amp;"SR.25.02.01.02 Columns {"&amp;COLUMN($D$1)&amp;"}"</f>
        <v>!SR.25.02.01.02 Columns {4}</v>
      </c>
    </row>
    <row r="34" spans="2:15">
      <c r="B34" s="43" t="s">
        <v>2880</v>
      </c>
      <c r="C34" s="44" t="s">
        <v>2878</v>
      </c>
      <c r="D34" s="46"/>
    </row>
    <row r="35" spans="2:15">
      <c r="B35" s="47" t="s">
        <v>4707</v>
      </c>
      <c r="C35" s="41" t="s">
        <v>2901</v>
      </c>
      <c r="D35" s="60"/>
    </row>
    <row r="36" spans="2:15">
      <c r="B36" s="47" t="s">
        <v>4631</v>
      </c>
      <c r="C36" s="41" t="s">
        <v>2891</v>
      </c>
      <c r="D36" s="60"/>
    </row>
    <row r="37" spans="2:15">
      <c r="B37" s="47" t="s">
        <v>4708</v>
      </c>
      <c r="C37" s="41" t="s">
        <v>2919</v>
      </c>
      <c r="D37" s="60"/>
    </row>
    <row r="38" spans="2:15">
      <c r="B38" s="47" t="s">
        <v>4671</v>
      </c>
      <c r="C38" s="41" t="s">
        <v>2921</v>
      </c>
      <c r="D38" s="60"/>
    </row>
    <row r="39" spans="2:15">
      <c r="B39" s="47" t="s">
        <v>4643</v>
      </c>
      <c r="C39" s="41" t="s">
        <v>2923</v>
      </c>
      <c r="D39" s="63"/>
    </row>
    <row r="40" spans="2:15">
      <c r="B40" s="47" t="s">
        <v>4644</v>
      </c>
      <c r="C40" s="44" t="s">
        <v>2878</v>
      </c>
      <c r="D40" s="46"/>
    </row>
    <row r="41" spans="2:15" ht="30">
      <c r="B41" s="49" t="s">
        <v>4709</v>
      </c>
      <c r="C41" s="41" t="s">
        <v>2939</v>
      </c>
      <c r="D41" s="60"/>
    </row>
    <row r="42" spans="2:15" ht="30">
      <c r="B42" s="49" t="s">
        <v>4710</v>
      </c>
      <c r="C42" s="41" t="s">
        <v>2941</v>
      </c>
      <c r="D42" s="60"/>
    </row>
    <row r="43" spans="2:15">
      <c r="B43" s="49" t="s">
        <v>4651</v>
      </c>
      <c r="C43" s="41" t="s">
        <v>2971</v>
      </c>
      <c r="D43" s="60"/>
    </row>
    <row r="45" spans="2:15">
      <c r="N45" s="13" t="str">
        <f>Show!$B$125&amp;Show!$B$125&amp;"SR.25.02.01.02 Rows {"&amp;COLUMN($C$1)&amp;"}"</f>
        <v>!!SR.25.02.01.02 Rows {3}</v>
      </c>
      <c r="O45" s="13" t="str">
        <f>Show!$B$125&amp;Show!$B$125&amp;"SR.25.02.01.02 Columns {"&amp;COLUMN($D$1)&amp;"}"</f>
        <v>!!SR.25.02.01.02 Columns {4}</v>
      </c>
    </row>
    <row r="47" spans="2:15" ht="18.75">
      <c r="B47" s="88" t="s">
        <v>4732</v>
      </c>
      <c r="C47" s="87"/>
      <c r="D47" s="87"/>
      <c r="E47" s="87"/>
      <c r="F47" s="87"/>
      <c r="G47" s="87"/>
      <c r="H47" s="87"/>
      <c r="I47" s="87"/>
      <c r="J47" s="87"/>
      <c r="K47" s="87"/>
      <c r="L47" s="87"/>
    </row>
    <row r="49" spans="2:15">
      <c r="B49" t="s">
        <v>3110</v>
      </c>
      <c r="N49" s="13" t="str">
        <f>Show!$B$125&amp;"SR.25.02.01.03 Table label {"&amp;COLUMN($C$1)&amp;"}"</f>
        <v>!SR.25.02.01.03 Table label {3}</v>
      </c>
      <c r="O49" s="13" t="str">
        <f>Show!$B$125&amp;"SR.25.02.01.03 Table value {"&amp;COLUMN($D$1)&amp;"}"</f>
        <v>!SR.25.02.01.03 Table value {4}</v>
      </c>
    </row>
    <row r="50" spans="2:15">
      <c r="B50" t="s">
        <v>3111</v>
      </c>
    </row>
    <row r="51" spans="2:15">
      <c r="B51" s="40" t="s">
        <v>3788</v>
      </c>
      <c r="C51" s="53" t="s">
        <v>3115</v>
      </c>
      <c r="D51" s="51"/>
    </row>
    <row r="52" spans="2:15">
      <c r="B52" s="40" t="s">
        <v>3114</v>
      </c>
      <c r="C52" s="53" t="s">
        <v>3323</v>
      </c>
      <c r="D52" s="50"/>
    </row>
    <row r="53" spans="2:15">
      <c r="N53" s="13" t="str">
        <f>Show!$B$125&amp;Show!$B$125&amp;"SR.25.02.01.03 Table label {"&amp;COLUMN($C$1)&amp;"}"</f>
        <v>!!SR.25.02.01.03 Table label {3}</v>
      </c>
      <c r="O53" s="13" t="str">
        <f>Show!$B$125&amp;Show!$B$125&amp;"SR.25.02.01.03 Table value {"&amp;COLUMN($D$1)&amp;"}"</f>
        <v>!!SR.25.02.01.03 Table value {4}</v>
      </c>
    </row>
    <row r="55" spans="2:15">
      <c r="D55" s="89" t="s">
        <v>2877</v>
      </c>
    </row>
    <row r="56" spans="2:15">
      <c r="D56" s="91"/>
    </row>
    <row r="57" spans="2:15">
      <c r="D57" s="55" t="s">
        <v>4653</v>
      </c>
    </row>
    <row r="58" spans="2:15">
      <c r="D58" s="45" t="s">
        <v>4654</v>
      </c>
      <c r="N58" s="13" t="str">
        <f>Show!$B$125&amp;"SR.25.02.01.03 Rows {"&amp;COLUMN($C$1)&amp;"}"&amp;"@ForceFilingCode:true"</f>
        <v>!SR.25.02.01.03 Rows {3}@ForceFilingCode:true</v>
      </c>
      <c r="O58" s="13" t="str">
        <f>Show!$B$125&amp;"SR.25.02.01.03 Columns {"&amp;COLUMN($D$1)&amp;"}"</f>
        <v>!SR.25.02.01.03 Columns {4}</v>
      </c>
    </row>
    <row r="59" spans="2:15">
      <c r="B59" s="43" t="s">
        <v>2880</v>
      </c>
      <c r="C59" s="44" t="s">
        <v>2878</v>
      </c>
      <c r="D59" s="46"/>
    </row>
    <row r="60" spans="2:15">
      <c r="B60" s="47" t="s">
        <v>2562</v>
      </c>
      <c r="C60" s="41" t="s">
        <v>2995</v>
      </c>
      <c r="D60" s="51"/>
    </row>
    <row r="62" spans="2:15">
      <c r="N62" s="13" t="str">
        <f>Show!$B$125&amp;Show!$B$125&amp;"SR.25.02.01.03 Rows {"&amp;COLUMN($C$1)&amp;"}"</f>
        <v>!!SR.25.02.01.03 Rows {3}</v>
      </c>
      <c r="O62" s="13" t="str">
        <f>Show!$B$125&amp;Show!$B$125&amp;"SR.25.02.01.03 Columns {"&amp;COLUMN($D$1)&amp;"}"</f>
        <v>!!SR.25.02.01.03 Columns {4}</v>
      </c>
    </row>
    <row r="64" spans="2:15" ht="18.75">
      <c r="B64" s="88" t="s">
        <v>4733</v>
      </c>
      <c r="C64" s="87"/>
      <c r="D64" s="87"/>
      <c r="E64" s="87"/>
      <c r="F64" s="87"/>
      <c r="G64" s="87"/>
      <c r="H64" s="87"/>
      <c r="I64" s="87"/>
      <c r="J64" s="87"/>
      <c r="K64" s="87"/>
      <c r="L64" s="87"/>
    </row>
    <row r="66" spans="2:15">
      <c r="B66" t="s">
        <v>3110</v>
      </c>
      <c r="N66" s="13" t="str">
        <f>Show!$B$125&amp;"SR.25.02.01.04 Table label {"&amp;COLUMN($C$1)&amp;"}"</f>
        <v>!SR.25.02.01.04 Table label {3}</v>
      </c>
      <c r="O66" s="13" t="str">
        <f>Show!$B$125&amp;"SR.25.02.01.04 Table value {"&amp;COLUMN($D$1)&amp;"}"</f>
        <v>!SR.25.02.01.04 Table value {4}</v>
      </c>
    </row>
    <row r="67" spans="2:15">
      <c r="B67" t="s">
        <v>3111</v>
      </c>
    </row>
    <row r="68" spans="2:15">
      <c r="B68" s="40" t="s">
        <v>3788</v>
      </c>
      <c r="C68" s="53" t="s">
        <v>3115</v>
      </c>
      <c r="D68" s="51"/>
    </row>
    <row r="69" spans="2:15">
      <c r="B69" s="40" t="s">
        <v>3114</v>
      </c>
      <c r="C69" s="53" t="s">
        <v>3323</v>
      </c>
      <c r="D69" s="50"/>
    </row>
    <row r="70" spans="2:15">
      <c r="N70" s="13" t="str">
        <f>Show!$B$125&amp;Show!$B$125&amp;"SR.25.02.01.04 Table label {"&amp;COLUMN($C$1)&amp;"}"</f>
        <v>!!SR.25.02.01.04 Table label {3}</v>
      </c>
      <c r="O70" s="13" t="str">
        <f>Show!$B$125&amp;Show!$B$125&amp;"SR.25.02.01.04 Table value {"&amp;COLUMN($D$1)&amp;"}"</f>
        <v>!!SR.25.02.01.04 Table value {4}</v>
      </c>
    </row>
    <row r="72" spans="2:15">
      <c r="D72" s="92" t="s">
        <v>2877</v>
      </c>
      <c r="E72" s="94"/>
    </row>
    <row r="73" spans="2:15">
      <c r="D73" s="95"/>
      <c r="E73" s="97"/>
    </row>
    <row r="74" spans="2:15">
      <c r="D74" s="89" t="s">
        <v>4656</v>
      </c>
      <c r="E74" s="89" t="s">
        <v>4657</v>
      </c>
    </row>
    <row r="75" spans="2:15">
      <c r="D75" s="91"/>
      <c r="E75" s="91"/>
    </row>
    <row r="76" spans="2:15">
      <c r="D76" s="45" t="s">
        <v>3241</v>
      </c>
      <c r="E76" s="45" t="s">
        <v>3243</v>
      </c>
      <c r="N76" s="13" t="str">
        <f>Show!$B$125&amp;"SR.25.02.01.04 Rows {"&amp;COLUMN($C$1)&amp;"}"&amp;"@ForceFilingCode:true"</f>
        <v>!SR.25.02.01.04 Rows {3}@ForceFilingCode:true</v>
      </c>
      <c r="O76" s="13" t="str">
        <f>Show!$B$125&amp;"SR.25.02.01.04 Columns {"&amp;COLUMN($D$1)&amp;"}"</f>
        <v>!SR.25.02.01.04 Columns {4}</v>
      </c>
    </row>
    <row r="77" spans="2:15">
      <c r="B77" s="43" t="s">
        <v>2880</v>
      </c>
      <c r="C77" s="44" t="s">
        <v>2878</v>
      </c>
      <c r="D77" s="56"/>
      <c r="E77" s="57"/>
    </row>
    <row r="78" spans="2:15">
      <c r="B78" s="47" t="s">
        <v>4658</v>
      </c>
      <c r="C78" s="41" t="s">
        <v>2997</v>
      </c>
      <c r="D78" s="60"/>
      <c r="E78" s="60"/>
    </row>
    <row r="79" spans="2:15">
      <c r="B79" s="49" t="s">
        <v>4659</v>
      </c>
      <c r="C79" s="41" t="s">
        <v>2999</v>
      </c>
      <c r="D79" s="60"/>
      <c r="E79" s="60"/>
    </row>
    <row r="80" spans="2:15">
      <c r="B80" s="49" t="s">
        <v>4660</v>
      </c>
      <c r="C80" s="41" t="s">
        <v>3001</v>
      </c>
      <c r="D80" s="60"/>
      <c r="E80" s="60"/>
    </row>
    <row r="81" spans="2:15">
      <c r="B81" s="47" t="s">
        <v>4661</v>
      </c>
      <c r="C81" s="41" t="s">
        <v>3003</v>
      </c>
      <c r="D81" s="60"/>
      <c r="E81" s="60"/>
    </row>
    <row r="83" spans="2:15">
      <c r="N83" s="13" t="str">
        <f>Show!$B$125&amp;Show!$B$125&amp;"SR.25.02.01.04 Rows {"&amp;COLUMN($C$1)&amp;"}"</f>
        <v>!!SR.25.02.01.04 Rows {3}</v>
      </c>
      <c r="O83" s="13" t="str">
        <f>Show!$B$125&amp;Show!$B$125&amp;"SR.25.02.01.04 Columns {"&amp;COLUMN($E$1)&amp;"}"</f>
        <v>!!SR.25.02.01.04 Columns {5}</v>
      </c>
    </row>
    <row r="85" spans="2:15" ht="18.75">
      <c r="B85" s="88" t="s">
        <v>4734</v>
      </c>
      <c r="C85" s="87"/>
      <c r="D85" s="87"/>
      <c r="E85" s="87"/>
      <c r="F85" s="87"/>
      <c r="G85" s="87"/>
      <c r="H85" s="87"/>
      <c r="I85" s="87"/>
      <c r="J85" s="87"/>
      <c r="K85" s="87"/>
      <c r="L85" s="87"/>
    </row>
    <row r="87" spans="2:15">
      <c r="B87" t="s">
        <v>3110</v>
      </c>
      <c r="N87" s="13" t="str">
        <f>Show!$B$125&amp;"SR.25.02.01.05 Table label {"&amp;COLUMN($C$1)&amp;"}"</f>
        <v>!SR.25.02.01.05 Table label {3}</v>
      </c>
      <c r="O87" s="13" t="str">
        <f>Show!$B$125&amp;"SR.25.02.01.05 Table value {"&amp;COLUMN($D$1)&amp;"}"</f>
        <v>!SR.25.02.01.05 Table value {4}</v>
      </c>
    </row>
    <row r="88" spans="2:15">
      <c r="B88" t="s">
        <v>3111</v>
      </c>
    </row>
    <row r="89" spans="2:15">
      <c r="B89" s="40" t="s">
        <v>3788</v>
      </c>
      <c r="C89" s="53" t="s">
        <v>3115</v>
      </c>
      <c r="D89" s="51"/>
    </row>
    <row r="90" spans="2:15">
      <c r="B90" s="40" t="s">
        <v>3114</v>
      </c>
      <c r="C90" s="53" t="s">
        <v>3323</v>
      </c>
      <c r="D90" s="50"/>
    </row>
    <row r="91" spans="2:15">
      <c r="N91" s="13" t="str">
        <f>Show!$B$125&amp;Show!$B$125&amp;"SR.25.02.01.05 Table label {"&amp;COLUMN($C$1)&amp;"}"</f>
        <v>!!SR.25.02.01.05 Table label {3}</v>
      </c>
      <c r="O91" s="13" t="str">
        <f>Show!$B$125&amp;Show!$B$125&amp;"SR.25.02.01.05 Table value {"&amp;COLUMN($D$1)&amp;"}"</f>
        <v>!!SR.25.02.01.05 Table value {4}</v>
      </c>
    </row>
    <row r="93" spans="2:15">
      <c r="D93" s="89" t="s">
        <v>2877</v>
      </c>
    </row>
    <row r="94" spans="2:15">
      <c r="D94" s="91"/>
    </row>
    <row r="95" spans="2:15">
      <c r="D95" s="89" t="s">
        <v>4663</v>
      </c>
    </row>
    <row r="96" spans="2:15">
      <c r="D96" s="91"/>
    </row>
    <row r="97" spans="2:15">
      <c r="D97" s="45" t="s">
        <v>3375</v>
      </c>
      <c r="N97" s="13" t="str">
        <f>Show!$B$125&amp;"SR.25.02.01.05 Rows {"&amp;COLUMN($C$1)&amp;"}"&amp;"@ForceFilingCode:true"</f>
        <v>!SR.25.02.01.05 Rows {3}@ForceFilingCode:true</v>
      </c>
      <c r="O97" s="13" t="str">
        <f>Show!$B$125&amp;"SR.25.02.01.05 Columns {"&amp;COLUMN($D$1)&amp;"}"</f>
        <v>!SR.25.02.01.05 Columns {4}</v>
      </c>
    </row>
    <row r="98" spans="2:15">
      <c r="B98" s="43" t="s">
        <v>2880</v>
      </c>
      <c r="C98" s="44" t="s">
        <v>2878</v>
      </c>
      <c r="D98" s="46"/>
    </row>
    <row r="99" spans="2:15">
      <c r="B99" s="47" t="s">
        <v>4716</v>
      </c>
      <c r="C99" s="41" t="s">
        <v>3005</v>
      </c>
      <c r="D99" s="60"/>
    </row>
    <row r="100" spans="2:15" ht="30">
      <c r="B100" s="49" t="s">
        <v>4717</v>
      </c>
      <c r="C100" s="41" t="s">
        <v>3007</v>
      </c>
      <c r="D100" s="60"/>
    </row>
    <row r="101" spans="2:15" ht="30">
      <c r="B101" s="49" t="s">
        <v>4718</v>
      </c>
      <c r="C101" s="41" t="s">
        <v>3009</v>
      </c>
      <c r="D101" s="60"/>
    </row>
    <row r="102" spans="2:15" ht="30">
      <c r="B102" s="49" t="s">
        <v>4735</v>
      </c>
      <c r="C102" s="41" t="s">
        <v>3011</v>
      </c>
      <c r="D102" s="60"/>
    </row>
    <row r="103" spans="2:15" ht="30">
      <c r="B103" s="49" t="s">
        <v>4720</v>
      </c>
      <c r="C103" s="41" t="s">
        <v>3013</v>
      </c>
      <c r="D103" s="60"/>
    </row>
    <row r="104" spans="2:15">
      <c r="B104" s="49" t="s">
        <v>4721</v>
      </c>
      <c r="C104" s="41" t="s">
        <v>3015</v>
      </c>
      <c r="D104" s="60"/>
    </row>
    <row r="106" spans="2:15">
      <c r="N106" s="13" t="str">
        <f>Show!$B$125&amp;Show!$B$125&amp;"SR.25.02.01.05 Rows {"&amp;COLUMN($C$1)&amp;"}"</f>
        <v>!!SR.25.02.01.05 Rows {3}</v>
      </c>
      <c r="O106" s="13" t="str">
        <f>Show!$B$125&amp;Show!$B$125&amp;"SR.25.02.01.05 Columns {"&amp;COLUMN($D$1)&amp;"}"</f>
        <v>!!SR.25.02.01.05 Columns {4}</v>
      </c>
    </row>
  </sheetData>
  <sheetProtection sheet="1" objects="1" scenarios="1"/>
  <mergeCells count="15">
    <mergeCell ref="D29:D32"/>
    <mergeCell ref="B2:O2"/>
    <mergeCell ref="B5:L5"/>
    <mergeCell ref="B13:B15"/>
    <mergeCell ref="C13:F14"/>
    <mergeCell ref="B21:L21"/>
    <mergeCell ref="B85:L85"/>
    <mergeCell ref="D93:D94"/>
    <mergeCell ref="D95:D96"/>
    <mergeCell ref="B47:L47"/>
    <mergeCell ref="D55:D56"/>
    <mergeCell ref="B64:L64"/>
    <mergeCell ref="D72:E73"/>
    <mergeCell ref="D74:D75"/>
    <mergeCell ref="E74:E75"/>
  </mergeCells>
  <dataValidations count="3">
    <dataValidation type="list" errorStyle="warning" allowBlank="1" showInputMessage="1" showErrorMessage="1" sqref="D9 D25 D51 D68 D89" xr:uid="{FE200BBD-E0E4-4BAD-94C4-CCC95FAD117E}">
      <formula1>hier_PU_20</formula1>
    </dataValidation>
    <dataValidation type="list" errorStyle="warning" allowBlank="1" showInputMessage="1" showErrorMessage="1" sqref="E17" xr:uid="{434F8B17-4A99-4CEB-81B9-B21B76FE1076}">
      <formula1>hier_AP_14</formula1>
    </dataValidation>
    <dataValidation type="list" errorStyle="warning" allowBlank="1" showInputMessage="1" showErrorMessage="1" sqref="D60" xr:uid="{5ED28472-7047-47AD-BF3A-F0B0542271BF}">
      <formula1>hier_AP_24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8A4DF-7AC0-4276-BF80-AB92D9A17EB8}">
  <sheetPr codeName="Blad13"/>
  <dimension ref="B2:O20"/>
  <sheetViews>
    <sheetView showGridLines="0" workbookViewId="0">
      <selection activeCell="D16" sqref="D16"/>
    </sheetView>
  </sheetViews>
  <sheetFormatPr defaultRowHeight="15"/>
  <cols>
    <col min="2" max="2" width="42.85546875" bestFit="1" customWidth="1"/>
    <col min="4" max="4" width="40.7109375" customWidth="1"/>
  </cols>
  <sheetData>
    <row r="2" spans="2:15" ht="23.25">
      <c r="B2" s="86" t="s">
        <v>512</v>
      </c>
      <c r="C2" s="87"/>
      <c r="D2" s="87"/>
      <c r="E2" s="87"/>
      <c r="F2" s="87"/>
      <c r="G2" s="87"/>
      <c r="H2" s="87"/>
      <c r="I2" s="87"/>
      <c r="J2" s="87"/>
      <c r="K2" s="87"/>
      <c r="L2" s="87"/>
      <c r="M2" s="87"/>
      <c r="N2" s="87"/>
      <c r="O2" s="87"/>
    </row>
    <row r="5" spans="2:15" ht="18.75">
      <c r="B5" s="88" t="s">
        <v>3094</v>
      </c>
      <c r="C5" s="87"/>
      <c r="D5" s="87"/>
      <c r="E5" s="87"/>
      <c r="F5" s="87"/>
      <c r="G5" s="87"/>
      <c r="H5" s="87"/>
      <c r="I5" s="87"/>
      <c r="J5" s="87"/>
      <c r="K5" s="87"/>
      <c r="L5" s="87"/>
    </row>
    <row r="9" spans="2:15">
      <c r="D9" s="89" t="s">
        <v>2877</v>
      </c>
    </row>
    <row r="10" spans="2:15">
      <c r="D10" s="90"/>
    </row>
    <row r="11" spans="2:15">
      <c r="D11" s="90"/>
    </row>
    <row r="12" spans="2:15">
      <c r="D12" s="91"/>
    </row>
    <row r="13" spans="2:15">
      <c r="D13" s="45" t="s">
        <v>2879</v>
      </c>
      <c r="I13" s="13" t="str">
        <f>IF(COUNTIF(D:D,"Reported")&gt;0,Show!$B$9,"!")&amp;"S.01.01.11.01 Rows {"&amp;COLUMN($C$1)&amp;"}"&amp;"@ForceFilingCode:true"</f>
        <v>!S.01.01.11.01 Rows {3}@ForceFilingCode:true</v>
      </c>
      <c r="J13" s="13" t="str">
        <f>IF(COUNTIF(D:D,"Reported")&gt;0,Show!$B$9,"!")&amp;"S.01.01.11.01 Columns {"&amp;COLUMN($D$1)&amp;"}"</f>
        <v>!S.01.01.11.01 Columns {4}</v>
      </c>
    </row>
    <row r="14" spans="2:15">
      <c r="B14" s="43" t="s">
        <v>2880</v>
      </c>
      <c r="C14" s="44" t="s">
        <v>2878</v>
      </c>
      <c r="D14" s="48"/>
    </row>
    <row r="15" spans="2:15">
      <c r="B15" s="47" t="s">
        <v>2881</v>
      </c>
      <c r="C15" s="44" t="s">
        <v>2878</v>
      </c>
      <c r="D15" s="46"/>
    </row>
    <row r="16" spans="2:15">
      <c r="B16" s="52" t="s">
        <v>2882</v>
      </c>
      <c r="C16" s="41" t="s">
        <v>2883</v>
      </c>
      <c r="D16" s="51"/>
    </row>
    <row r="17" spans="2:10">
      <c r="B17" s="52" t="s">
        <v>3095</v>
      </c>
      <c r="C17" s="41" t="s">
        <v>3096</v>
      </c>
      <c r="D17" s="51"/>
    </row>
    <row r="18" spans="2:10">
      <c r="B18" s="52" t="s">
        <v>3097</v>
      </c>
      <c r="C18" s="41" t="s">
        <v>3098</v>
      </c>
      <c r="D18" s="51"/>
    </row>
    <row r="19" spans="2:10">
      <c r="B19" s="52" t="s">
        <v>3099</v>
      </c>
      <c r="C19" s="41" t="s">
        <v>3100</v>
      </c>
      <c r="D19" s="51"/>
    </row>
    <row r="20" spans="2:10">
      <c r="I20" s="13" t="str">
        <f>IF(COUNTIF(D:D,"Reported")&gt;0,Show!$B$9&amp;Show!$B$9,"!!")&amp;"S.01.01.11.01 Rows {"&amp;COLUMN($C$1)&amp;"}"</f>
        <v>!!S.01.01.11.01 Rows {3}</v>
      </c>
      <c r="J20" s="13" t="str">
        <f>IF(COUNTIF(D:D,"Reported")&gt;0,Show!$B$9&amp;Show!$B$9,"!!")&amp;"S.01.01.11.01 Columns {"&amp;COLUMN($D$1)&amp;"}"</f>
        <v>!!S.01.01.11.01 Columns {4}</v>
      </c>
    </row>
  </sheetData>
  <sheetProtection sheet="1" objects="1" scenarios="1"/>
  <mergeCells count="3">
    <mergeCell ref="B2:O2"/>
    <mergeCell ref="B5:L5"/>
    <mergeCell ref="D9:D12"/>
  </mergeCells>
  <dataValidations count="4">
    <dataValidation type="list" errorStyle="warning" allowBlank="1" showInputMessage="1" showErrorMessage="1" sqref="D16" xr:uid="{2FA5923B-9193-4749-B747-AD88CE814618}">
      <formula1>hier_CN_2</formula1>
    </dataValidation>
    <dataValidation type="list" errorStyle="warning" allowBlank="1" showInputMessage="1" showErrorMessage="1" sqref="D17" xr:uid="{9DC883AA-14D8-4BBA-9EC5-CA362AD9BC7D}">
      <formula1>hier_CN_15</formula1>
    </dataValidation>
    <dataValidation type="list" errorStyle="warning" allowBlank="1" showInputMessage="1" showErrorMessage="1" sqref="D18" xr:uid="{F9BD5F6D-FDC9-4E6D-857F-28F9BBEC975C}">
      <formula1>hier_CN_75</formula1>
    </dataValidation>
    <dataValidation type="list" errorStyle="warning" allowBlank="1" showInputMessage="1" showErrorMessage="1" sqref="D19" xr:uid="{37CCB055-6DEE-4941-A4FA-4D823F7B065B}">
      <formula1>hier_CN_96</formula1>
    </dataValidation>
  </dataValidations>
  <hyperlinks>
    <hyperlink ref="B16" location="'S.01.02.01'!A1" display="S.01.02.01 - Basic Information - General" xr:uid="{8DF461C4-B01E-4D23-867A-74A940488A9F}"/>
    <hyperlink ref="B17" location="'S.25.04.11'!A1" display="S.25.04.11 - Solvency Capital Requirement" xr:uid="{E5F93B87-2100-477A-B0FB-C90FBF6D2C0C}"/>
    <hyperlink ref="B18" location="'S.39.01.11'!A1" display="S.39.01.11 - Profit and Loss" xr:uid="{B594C7C7-3634-4268-8D4B-0B9F03A0ED63}"/>
    <hyperlink ref="B19" location="'S.41.01.11'!A1" display="S.41.01.11 - Lapses" xr:uid="{627AE14D-8F0B-4DFC-B77B-6EF232CD1072}"/>
  </hyperlinks>
  <pageMargins left="0.7" right="0.7" top="0.75" bottom="0.75" header="0.3" footer="0.3"/>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FDD85-BCF1-407A-A20B-2FCEB5B3C4AF}">
  <sheetPr codeName="Blad130"/>
  <dimension ref="B2:O45"/>
  <sheetViews>
    <sheetView showGridLines="0" workbookViewId="0"/>
  </sheetViews>
  <sheetFormatPr defaultRowHeight="15"/>
  <cols>
    <col min="2" max="2" width="61.85546875" bestFit="1" customWidth="1"/>
    <col min="3" max="3" width="40.7109375" customWidth="1"/>
    <col min="4" max="4" width="15.7109375" customWidth="1"/>
    <col min="5" max="5" width="40.7109375" customWidth="1"/>
    <col min="6" max="6" width="15.7109375" customWidth="1"/>
  </cols>
  <sheetData>
    <row r="2" spans="2:15" ht="23.25">
      <c r="B2" s="86" t="s">
        <v>697</v>
      </c>
      <c r="C2" s="87"/>
      <c r="D2" s="87"/>
      <c r="E2" s="87"/>
      <c r="F2" s="87"/>
      <c r="G2" s="87"/>
      <c r="H2" s="87"/>
      <c r="I2" s="87"/>
      <c r="J2" s="87"/>
      <c r="K2" s="87"/>
      <c r="L2" s="87"/>
      <c r="M2" s="87"/>
      <c r="N2" s="87"/>
      <c r="O2" s="87"/>
    </row>
    <row r="5" spans="2:15" ht="18.75">
      <c r="B5" s="88" t="s">
        <v>4736</v>
      </c>
      <c r="C5" s="87"/>
      <c r="D5" s="87"/>
      <c r="E5" s="87"/>
      <c r="F5" s="87"/>
      <c r="G5" s="87"/>
      <c r="H5" s="87"/>
      <c r="I5" s="87"/>
      <c r="J5" s="87"/>
      <c r="K5" s="87"/>
      <c r="L5" s="87"/>
    </row>
    <row r="7" spans="2:15">
      <c r="B7" t="s">
        <v>3110</v>
      </c>
      <c r="N7" s="13" t="str">
        <f>Show!$B$126&amp;"SR.25.02.04.01 Table label {"&amp;COLUMN($C$1)&amp;"}"</f>
        <v>!SR.25.02.04.01 Table label {3}</v>
      </c>
      <c r="O7" s="13" t="str">
        <f>Show!$B$126&amp;"SR.25.02.04.01 Table value {"&amp;COLUMN($D$1)&amp;"}"</f>
        <v>!SR.25.02.04.01 Table value {4}</v>
      </c>
    </row>
    <row r="8" spans="2:15">
      <c r="B8" t="s">
        <v>3111</v>
      </c>
    </row>
    <row r="9" spans="2:15">
      <c r="B9" s="40" t="s">
        <v>3788</v>
      </c>
      <c r="C9" s="53" t="s">
        <v>3115</v>
      </c>
      <c r="D9" s="51"/>
    </row>
    <row r="10" spans="2:15">
      <c r="B10" s="40" t="s">
        <v>3114</v>
      </c>
      <c r="C10" s="53" t="s">
        <v>3323</v>
      </c>
      <c r="D10" s="50"/>
    </row>
    <row r="11" spans="2:15">
      <c r="N11" s="13" t="str">
        <f>Show!$B$126&amp;Show!$B$126&amp;"SR.25.02.04.01 Table label {"&amp;COLUMN($C$1)&amp;"}"</f>
        <v>!!SR.25.02.04.01 Table label {3}</v>
      </c>
      <c r="O11" s="13" t="str">
        <f>Show!$B$126&amp;Show!$B$126&amp;"SR.25.02.04.01 Table value {"&amp;COLUMN($D$1)&amp;"}"</f>
        <v>!!SR.25.02.04.01 Table value {4}</v>
      </c>
    </row>
    <row r="13" spans="2:15">
      <c r="B13" s="89" t="s">
        <v>4701</v>
      </c>
      <c r="C13" s="92" t="s">
        <v>2877</v>
      </c>
      <c r="D13" s="93"/>
      <c r="E13" s="93"/>
      <c r="F13" s="94"/>
    </row>
    <row r="14" spans="2:15">
      <c r="B14" s="90"/>
      <c r="C14" s="95"/>
      <c r="D14" s="96"/>
      <c r="E14" s="96"/>
      <c r="F14" s="97"/>
    </row>
    <row r="15" spans="2:15" ht="60">
      <c r="B15" s="91"/>
      <c r="C15" s="55" t="s">
        <v>4702</v>
      </c>
      <c r="D15" s="55" t="s">
        <v>4703</v>
      </c>
      <c r="E15" s="55" t="s">
        <v>4704</v>
      </c>
      <c r="F15" s="55" t="s">
        <v>4705</v>
      </c>
    </row>
    <row r="16" spans="2:15">
      <c r="B16" s="42" t="s">
        <v>2879</v>
      </c>
      <c r="C16" s="42" t="s">
        <v>3219</v>
      </c>
      <c r="D16" s="42" t="s">
        <v>3225</v>
      </c>
      <c r="E16" s="42" t="s">
        <v>3231</v>
      </c>
      <c r="F16" s="42" t="s">
        <v>3233</v>
      </c>
      <c r="N16" s="13" t="str">
        <f>Show!$B$126&amp;"SR.25.02.04.01 Rows {"&amp;COLUMN($B$1)&amp;"}"&amp;"@ForceFilingCode:true"</f>
        <v>!SR.25.02.04.01 Rows {2}@ForceFilingCode:true</v>
      </c>
      <c r="O16" s="13" t="str">
        <f>Show!$B$126&amp;"SR.25.02.04.01 Columns {"&amp;COLUMN($B$1)&amp;"}"</f>
        <v>!SR.25.02.04.01 Columns {2}</v>
      </c>
    </row>
    <row r="17" spans="2:15">
      <c r="B17" s="50"/>
      <c r="C17" s="51"/>
      <c r="D17" s="60"/>
      <c r="E17" s="51"/>
      <c r="F17" s="60"/>
    </row>
    <row r="19" spans="2:15">
      <c r="N19" s="13" t="str">
        <f>Show!$B$126&amp;Show!$B$126&amp;"SR.25.02.04.01 Rows {"&amp;COLUMN($B$1)&amp;"}"</f>
        <v>!!SR.25.02.04.01 Rows {2}</v>
      </c>
      <c r="O19" s="13" t="str">
        <f>Show!$B$126&amp;Show!$B$126&amp;"SR.25.02.04.01 Columns {"&amp;COLUMN($F$1)&amp;"}"</f>
        <v>!!SR.25.02.04.01 Columns {6}</v>
      </c>
    </row>
    <row r="21" spans="2:15" ht="18.75">
      <c r="B21" s="88" t="s">
        <v>4737</v>
      </c>
      <c r="C21" s="87"/>
      <c r="D21" s="87"/>
      <c r="E21" s="87"/>
      <c r="F21" s="87"/>
      <c r="G21" s="87"/>
      <c r="H21" s="87"/>
      <c r="I21" s="87"/>
      <c r="J21" s="87"/>
      <c r="K21" s="87"/>
      <c r="L21" s="87"/>
    </row>
    <row r="23" spans="2:15">
      <c r="B23" t="s">
        <v>3110</v>
      </c>
      <c r="N23" s="13" t="str">
        <f>Show!$B$126&amp;"SR.25.02.04.02 Table label {"&amp;COLUMN($C$1)&amp;"}"</f>
        <v>!SR.25.02.04.02 Table label {3}</v>
      </c>
      <c r="O23" s="13" t="str">
        <f>Show!$B$126&amp;"SR.25.02.04.02 Table value {"&amp;COLUMN($D$1)&amp;"}"</f>
        <v>!SR.25.02.04.02 Table value {4}</v>
      </c>
    </row>
    <row r="24" spans="2:15">
      <c r="B24" t="s">
        <v>3111</v>
      </c>
    </row>
    <row r="25" spans="2:15">
      <c r="B25" s="40" t="s">
        <v>3788</v>
      </c>
      <c r="C25" s="53" t="s">
        <v>3115</v>
      </c>
      <c r="D25" s="51"/>
    </row>
    <row r="26" spans="2:15">
      <c r="B26" s="40" t="s">
        <v>3114</v>
      </c>
      <c r="C26" s="53" t="s">
        <v>3323</v>
      </c>
      <c r="D26" s="50"/>
    </row>
    <row r="27" spans="2:15">
      <c r="N27" s="13" t="str">
        <f>Show!$B$126&amp;Show!$B$126&amp;"SR.25.02.04.02 Table label {"&amp;COLUMN($C$1)&amp;"}"</f>
        <v>!!SR.25.02.04.02 Table label {3}</v>
      </c>
      <c r="O27" s="13" t="str">
        <f>Show!$B$126&amp;Show!$B$126&amp;"SR.25.02.04.02 Table value {"&amp;COLUMN($D$1)&amp;"}"</f>
        <v>!!SR.25.02.04.02 Table value {4}</v>
      </c>
    </row>
    <row r="29" spans="2:15">
      <c r="D29" s="89" t="s">
        <v>2877</v>
      </c>
    </row>
    <row r="30" spans="2:15">
      <c r="D30" s="90"/>
    </row>
    <row r="31" spans="2:15">
      <c r="D31" s="90"/>
    </row>
    <row r="32" spans="2:15">
      <c r="D32" s="91"/>
    </row>
    <row r="33" spans="2:15">
      <c r="D33" s="45" t="s">
        <v>3239</v>
      </c>
      <c r="N33" s="13" t="str">
        <f>Show!$B$126&amp;"SR.25.02.04.02 Rows {"&amp;COLUMN($C$1)&amp;"}"&amp;"@ForceFilingCode:true"</f>
        <v>!SR.25.02.04.02 Rows {3}@ForceFilingCode:true</v>
      </c>
      <c r="O33" s="13" t="str">
        <f>Show!$B$126&amp;"SR.25.02.04.02 Columns {"&amp;COLUMN($D$1)&amp;"}"</f>
        <v>!SR.25.02.04.02 Columns {4}</v>
      </c>
    </row>
    <row r="34" spans="2:15">
      <c r="B34" s="43" t="s">
        <v>2880</v>
      </c>
      <c r="C34" s="44" t="s">
        <v>2878</v>
      </c>
      <c r="D34" s="46"/>
    </row>
    <row r="35" spans="2:15">
      <c r="B35" s="47" t="s">
        <v>4707</v>
      </c>
      <c r="C35" s="41" t="s">
        <v>2901</v>
      </c>
      <c r="D35" s="60"/>
    </row>
    <row r="36" spans="2:15">
      <c r="B36" s="47" t="s">
        <v>4631</v>
      </c>
      <c r="C36" s="41" t="s">
        <v>2891</v>
      </c>
      <c r="D36" s="60"/>
    </row>
    <row r="37" spans="2:15">
      <c r="B37" s="47" t="s">
        <v>4708</v>
      </c>
      <c r="C37" s="41" t="s">
        <v>2919</v>
      </c>
      <c r="D37" s="60"/>
    </row>
    <row r="38" spans="2:15">
      <c r="B38" s="47" t="s">
        <v>4671</v>
      </c>
      <c r="C38" s="41" t="s">
        <v>2921</v>
      </c>
      <c r="D38" s="60"/>
    </row>
    <row r="39" spans="2:15">
      <c r="B39" s="47" t="s">
        <v>4643</v>
      </c>
      <c r="C39" s="41" t="s">
        <v>2923</v>
      </c>
      <c r="D39" s="63"/>
    </row>
    <row r="40" spans="2:15">
      <c r="B40" s="47" t="s">
        <v>4644</v>
      </c>
      <c r="C40" s="44" t="s">
        <v>2878</v>
      </c>
      <c r="D40" s="46"/>
    </row>
    <row r="41" spans="2:15" ht="30">
      <c r="B41" s="49" t="s">
        <v>4709</v>
      </c>
      <c r="C41" s="41" t="s">
        <v>2939</v>
      </c>
      <c r="D41" s="60"/>
    </row>
    <row r="42" spans="2:15" ht="30">
      <c r="B42" s="49" t="s">
        <v>4710</v>
      </c>
      <c r="C42" s="41" t="s">
        <v>2941</v>
      </c>
      <c r="D42" s="60"/>
    </row>
    <row r="43" spans="2:15">
      <c r="B43" s="49" t="s">
        <v>4651</v>
      </c>
      <c r="C43" s="41" t="s">
        <v>2971</v>
      </c>
      <c r="D43" s="60"/>
    </row>
    <row r="45" spans="2:15">
      <c r="N45" s="13" t="str">
        <f>Show!$B$126&amp;Show!$B$126&amp;"SR.25.02.04.02 Rows {"&amp;COLUMN($C$1)&amp;"}"</f>
        <v>!!SR.25.02.04.02 Rows {3}</v>
      </c>
      <c r="O45" s="13" t="str">
        <f>Show!$B$126&amp;Show!$B$126&amp;"SR.25.02.04.02 Columns {"&amp;COLUMN($D$1)&amp;"}"</f>
        <v>!!SR.25.02.04.02 Columns {4}</v>
      </c>
    </row>
  </sheetData>
  <sheetProtection sheet="1" objects="1" scenarios="1"/>
  <mergeCells count="6">
    <mergeCell ref="D29:D32"/>
    <mergeCell ref="B2:O2"/>
    <mergeCell ref="B5:L5"/>
    <mergeCell ref="B13:B15"/>
    <mergeCell ref="C13:F14"/>
    <mergeCell ref="B21:L21"/>
  </mergeCells>
  <dataValidations count="2">
    <dataValidation type="list" errorStyle="warning" allowBlank="1" showInputMessage="1" showErrorMessage="1" sqref="D9 D25" xr:uid="{436559DB-B0B6-4234-BAA8-AEC4E584C8EC}">
      <formula1>hier_PU_20</formula1>
    </dataValidation>
    <dataValidation type="list" errorStyle="warning" allowBlank="1" showInputMessage="1" showErrorMessage="1" sqref="E17" xr:uid="{328901C8-B8D5-4CA2-A0B1-A1ACDCC20DCF}">
      <formula1>hier_AP_14</formula1>
    </dataValidation>
  </dataValidations>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4A60-ECAC-43CC-86F4-A694FCF5D6D3}">
  <sheetPr codeName="Blad131"/>
  <dimension ref="B2:O91"/>
  <sheetViews>
    <sheetView showGridLines="0" workbookViewId="0"/>
  </sheetViews>
  <sheetFormatPr defaultRowHeight="15"/>
  <cols>
    <col min="2" max="2" width="28.28515625" bestFit="1" customWidth="1"/>
    <col min="3" max="3" width="40.7109375" customWidth="1"/>
    <col min="4" max="5" width="15.7109375" customWidth="1"/>
  </cols>
  <sheetData>
    <row r="2" spans="2:15" ht="23.25">
      <c r="B2" s="86" t="s">
        <v>703</v>
      </c>
      <c r="C2" s="87"/>
      <c r="D2" s="87"/>
      <c r="E2" s="87"/>
      <c r="F2" s="87"/>
      <c r="G2" s="87"/>
      <c r="H2" s="87"/>
      <c r="I2" s="87"/>
      <c r="J2" s="87"/>
      <c r="K2" s="87"/>
      <c r="L2" s="87"/>
      <c r="M2" s="87"/>
      <c r="N2" s="87"/>
      <c r="O2" s="87"/>
    </row>
    <row r="5" spans="2:15" ht="18.75">
      <c r="B5" s="88" t="s">
        <v>4738</v>
      </c>
      <c r="C5" s="87"/>
      <c r="D5" s="87"/>
      <c r="E5" s="87"/>
      <c r="F5" s="87"/>
      <c r="G5" s="87"/>
      <c r="H5" s="87"/>
      <c r="I5" s="87"/>
      <c r="J5" s="87"/>
      <c r="K5" s="87"/>
      <c r="L5" s="87"/>
    </row>
    <row r="9" spans="2:15">
      <c r="B9" s="89" t="s">
        <v>4701</v>
      </c>
      <c r="C9" s="92" t="s">
        <v>2877</v>
      </c>
      <c r="D9" s="93"/>
      <c r="E9" s="94"/>
    </row>
    <row r="10" spans="2:15">
      <c r="B10" s="90"/>
      <c r="C10" s="95"/>
      <c r="D10" s="96"/>
      <c r="E10" s="97"/>
    </row>
    <row r="11" spans="2:15" ht="135">
      <c r="B11" s="91"/>
      <c r="C11" s="55" t="s">
        <v>4702</v>
      </c>
      <c r="D11" s="55" t="s">
        <v>4703</v>
      </c>
      <c r="E11" s="55" t="s">
        <v>4704</v>
      </c>
    </row>
    <row r="12" spans="2:15">
      <c r="B12" s="42" t="s">
        <v>2879</v>
      </c>
      <c r="C12" s="42" t="s">
        <v>3219</v>
      </c>
      <c r="D12" s="42" t="s">
        <v>3225</v>
      </c>
      <c r="E12" s="42" t="s">
        <v>3231</v>
      </c>
      <c r="M12" s="13" t="str">
        <f>Show!$B$127&amp;"S.25.03.01.01 Rows {"&amp;COLUMN($B$1)&amp;"}"&amp;"@ForceFilingCode:true"</f>
        <v>!S.25.03.01.01 Rows {2}@ForceFilingCode:true</v>
      </c>
      <c r="N12" s="13" t="str">
        <f>Show!$B$127&amp;"S.25.03.01.01 Columns {"&amp;COLUMN($B$1)&amp;"}"</f>
        <v>!S.25.03.01.01 Columns {2}</v>
      </c>
    </row>
    <row r="13" spans="2:15">
      <c r="B13" s="50"/>
      <c r="C13" s="51"/>
      <c r="D13" s="60"/>
      <c r="E13" s="51"/>
    </row>
    <row r="15" spans="2:15">
      <c r="M15" s="13" t="str">
        <f>Show!$B$127&amp;Show!$B$127&amp;"S.25.03.01.01 Rows {"&amp;COLUMN($B$1)&amp;"}"</f>
        <v>!!S.25.03.01.01 Rows {2}</v>
      </c>
      <c r="N15" s="13" t="str">
        <f>Show!$B$127&amp;Show!$B$127&amp;"S.25.03.01.01 Columns {"&amp;COLUMN($E$1)&amp;"}"</f>
        <v>!!S.25.03.01.01 Columns {5}</v>
      </c>
    </row>
    <row r="17" spans="2:14" ht="18.75">
      <c r="B17" s="88" t="s">
        <v>4739</v>
      </c>
      <c r="C17" s="87"/>
      <c r="D17" s="87"/>
      <c r="E17" s="87"/>
      <c r="F17" s="87"/>
      <c r="G17" s="87"/>
      <c r="H17" s="87"/>
      <c r="I17" s="87"/>
      <c r="J17" s="87"/>
      <c r="K17" s="87"/>
      <c r="L17" s="87"/>
    </row>
    <row r="21" spans="2:14">
      <c r="D21" s="89" t="s">
        <v>2877</v>
      </c>
    </row>
    <row r="22" spans="2:14">
      <c r="D22" s="90"/>
    </row>
    <row r="23" spans="2:14">
      <c r="D23" s="90"/>
    </row>
    <row r="24" spans="2:14">
      <c r="D24" s="91"/>
    </row>
    <row r="25" spans="2:14">
      <c r="D25" s="45" t="s">
        <v>3239</v>
      </c>
      <c r="M25" s="13" t="str">
        <f>Show!$B$127&amp;"S.25.03.01.02 Rows {"&amp;COLUMN($C$1)&amp;"}"&amp;"@ForceFilingCode:true"</f>
        <v>!S.25.03.01.02 Rows {3}@ForceFilingCode:true</v>
      </c>
      <c r="N25" s="13" t="str">
        <f>Show!$B$127&amp;"S.25.03.01.02 Columns {"&amp;COLUMN($D$1)&amp;"}"</f>
        <v>!S.25.03.01.02 Columns {4}</v>
      </c>
    </row>
    <row r="26" spans="2:14">
      <c r="B26" s="43" t="s">
        <v>2880</v>
      </c>
      <c r="C26" s="44" t="s">
        <v>2878</v>
      </c>
      <c r="D26" s="46"/>
    </row>
    <row r="27" spans="2:14" ht="30">
      <c r="B27" s="47" t="s">
        <v>4707</v>
      </c>
      <c r="C27" s="41" t="s">
        <v>2901</v>
      </c>
      <c r="D27" s="60"/>
    </row>
    <row r="28" spans="2:14">
      <c r="B28" s="47" t="s">
        <v>4631</v>
      </c>
      <c r="C28" s="41" t="s">
        <v>2891</v>
      </c>
      <c r="D28" s="60"/>
    </row>
    <row r="29" spans="2:14" ht="75">
      <c r="B29" s="47" t="s">
        <v>4740</v>
      </c>
      <c r="C29" s="41" t="s">
        <v>2911</v>
      </c>
      <c r="D29" s="60"/>
    </row>
    <row r="30" spans="2:14" ht="45">
      <c r="B30" s="47" t="s">
        <v>4708</v>
      </c>
      <c r="C30" s="41" t="s">
        <v>2919</v>
      </c>
      <c r="D30" s="60"/>
    </row>
    <row r="31" spans="2:14">
      <c r="B31" s="47" t="s">
        <v>4671</v>
      </c>
      <c r="C31" s="41" t="s">
        <v>2921</v>
      </c>
      <c r="D31" s="60"/>
    </row>
    <row r="32" spans="2:14" ht="30">
      <c r="B32" s="47" t="s">
        <v>4643</v>
      </c>
      <c r="C32" s="41" t="s">
        <v>2923</v>
      </c>
      <c r="D32" s="63"/>
    </row>
    <row r="33" spans="2:14">
      <c r="B33" s="47" t="s">
        <v>4644</v>
      </c>
      <c r="C33" s="44" t="s">
        <v>2878</v>
      </c>
      <c r="D33" s="46"/>
    </row>
    <row r="34" spans="2:14" ht="60">
      <c r="B34" s="49" t="s">
        <v>4709</v>
      </c>
      <c r="C34" s="41" t="s">
        <v>2939</v>
      </c>
      <c r="D34" s="60"/>
    </row>
    <row r="35" spans="2:14" ht="45">
      <c r="B35" s="49" t="s">
        <v>4710</v>
      </c>
      <c r="C35" s="41" t="s">
        <v>2941</v>
      </c>
      <c r="D35" s="60"/>
    </row>
    <row r="36" spans="2:14" ht="60">
      <c r="B36" s="49" t="s">
        <v>4646</v>
      </c>
      <c r="C36" s="41" t="s">
        <v>2961</v>
      </c>
      <c r="D36" s="60"/>
    </row>
    <row r="37" spans="2:14" ht="60">
      <c r="B37" s="49" t="s">
        <v>4711</v>
      </c>
      <c r="C37" s="41" t="s">
        <v>2963</v>
      </c>
      <c r="D37" s="60"/>
    </row>
    <row r="38" spans="2:14" ht="75">
      <c r="B38" s="49" t="s">
        <v>4712</v>
      </c>
      <c r="C38" s="41" t="s">
        <v>2965</v>
      </c>
      <c r="D38" s="60"/>
    </row>
    <row r="39" spans="2:14" ht="45">
      <c r="B39" s="49" t="s">
        <v>4649</v>
      </c>
      <c r="C39" s="41" t="s">
        <v>2967</v>
      </c>
      <c r="D39" s="60"/>
    </row>
    <row r="40" spans="2:14" ht="30">
      <c r="B40" s="49" t="s">
        <v>4651</v>
      </c>
      <c r="C40" s="41" t="s">
        <v>2971</v>
      </c>
      <c r="D40" s="60"/>
    </row>
    <row r="42" spans="2:14">
      <c r="M42" s="13" t="str">
        <f>Show!$B$127&amp;Show!$B$127&amp;"S.25.03.01.02 Rows {"&amp;COLUMN($C$1)&amp;"}"</f>
        <v>!!S.25.03.01.02 Rows {3}</v>
      </c>
      <c r="N42" s="13" t="str">
        <f>Show!$B$127&amp;Show!$B$127&amp;"S.25.03.01.02 Columns {"&amp;COLUMN($D$1)&amp;"}"</f>
        <v>!!S.25.03.01.02 Columns {4}</v>
      </c>
    </row>
    <row r="44" spans="2:14" ht="18.75">
      <c r="B44" s="88" t="s">
        <v>4741</v>
      </c>
      <c r="C44" s="87"/>
      <c r="D44" s="87"/>
      <c r="E44" s="87"/>
      <c r="F44" s="87"/>
      <c r="G44" s="87"/>
      <c r="H44" s="87"/>
      <c r="I44" s="87"/>
      <c r="J44" s="87"/>
      <c r="K44" s="87"/>
      <c r="L44" s="87"/>
    </row>
    <row r="48" spans="2:14">
      <c r="D48" s="89" t="s">
        <v>2877</v>
      </c>
    </row>
    <row r="49" spans="2:14">
      <c r="D49" s="91"/>
    </row>
    <row r="50" spans="2:14">
      <c r="D50" s="55" t="s">
        <v>4653</v>
      </c>
    </row>
    <row r="51" spans="2:14">
      <c r="D51" s="45" t="s">
        <v>4654</v>
      </c>
      <c r="M51" s="13" t="str">
        <f>Show!$B$127&amp;"S.25.03.01.03 Rows {"&amp;COLUMN($C$1)&amp;"}"&amp;"@ForceFilingCode:true"</f>
        <v>!S.25.03.01.03 Rows {3}@ForceFilingCode:true</v>
      </c>
      <c r="N51" s="13" t="str">
        <f>Show!$B$127&amp;"S.25.03.01.03 Columns {"&amp;COLUMN($D$1)&amp;"}"</f>
        <v>!S.25.03.01.03 Columns {4}</v>
      </c>
    </row>
    <row r="52" spans="2:14">
      <c r="B52" s="43" t="s">
        <v>2880</v>
      </c>
      <c r="C52" s="44" t="s">
        <v>2878</v>
      </c>
      <c r="D52" s="46"/>
    </row>
    <row r="53" spans="2:14" ht="30">
      <c r="B53" s="47" t="s">
        <v>2562</v>
      </c>
      <c r="C53" s="41" t="s">
        <v>2995</v>
      </c>
      <c r="D53" s="51"/>
    </row>
    <row r="55" spans="2:14">
      <c r="M55" s="13" t="str">
        <f>Show!$B$127&amp;Show!$B$127&amp;"S.25.03.01.03 Rows {"&amp;COLUMN($C$1)&amp;"}"</f>
        <v>!!S.25.03.01.03 Rows {3}</v>
      </c>
      <c r="N55" s="13" t="str">
        <f>Show!$B$127&amp;Show!$B$127&amp;"S.25.03.01.03 Columns {"&amp;COLUMN($D$1)&amp;"}"</f>
        <v>!!S.25.03.01.03 Columns {4}</v>
      </c>
    </row>
    <row r="57" spans="2:14" ht="18.75">
      <c r="B57" s="88" t="s">
        <v>4742</v>
      </c>
      <c r="C57" s="87"/>
      <c r="D57" s="87"/>
      <c r="E57" s="87"/>
      <c r="F57" s="87"/>
      <c r="G57" s="87"/>
      <c r="H57" s="87"/>
      <c r="I57" s="87"/>
      <c r="J57" s="87"/>
      <c r="K57" s="87"/>
      <c r="L57" s="87"/>
    </row>
    <row r="61" spans="2:14">
      <c r="D61" s="92" t="s">
        <v>2877</v>
      </c>
      <c r="E61" s="94"/>
    </row>
    <row r="62" spans="2:14">
      <c r="D62" s="95"/>
      <c r="E62" s="97"/>
    </row>
    <row r="63" spans="2:14">
      <c r="D63" s="89" t="s">
        <v>4656</v>
      </c>
      <c r="E63" s="89" t="s">
        <v>4657</v>
      </c>
    </row>
    <row r="64" spans="2:14">
      <c r="D64" s="91"/>
      <c r="E64" s="91"/>
    </row>
    <row r="65" spans="2:14">
      <c r="D65" s="45" t="s">
        <v>3241</v>
      </c>
      <c r="E65" s="45" t="s">
        <v>3243</v>
      </c>
      <c r="M65" s="13" t="str">
        <f>Show!$B$127&amp;"S.25.03.01.04 Rows {"&amp;COLUMN($C$1)&amp;"}"&amp;"@ForceFilingCode:true"</f>
        <v>!S.25.03.01.04 Rows {3}@ForceFilingCode:true</v>
      </c>
      <c r="N65" s="13" t="str">
        <f>Show!$B$127&amp;"S.25.03.01.04 Columns {"&amp;COLUMN($D$1)&amp;"}"</f>
        <v>!S.25.03.01.04 Columns {4}</v>
      </c>
    </row>
    <row r="66" spans="2:14">
      <c r="B66" s="43" t="s">
        <v>2880</v>
      </c>
      <c r="C66" s="44" t="s">
        <v>2878</v>
      </c>
      <c r="D66" s="56"/>
      <c r="E66" s="57"/>
    </row>
    <row r="67" spans="2:14">
      <c r="B67" s="47" t="s">
        <v>4658</v>
      </c>
      <c r="C67" s="41" t="s">
        <v>2997</v>
      </c>
      <c r="D67" s="60"/>
      <c r="E67" s="60"/>
    </row>
    <row r="68" spans="2:14">
      <c r="B68" s="49" t="s">
        <v>4659</v>
      </c>
      <c r="C68" s="41" t="s">
        <v>2999</v>
      </c>
      <c r="D68" s="60"/>
      <c r="E68" s="60"/>
    </row>
    <row r="69" spans="2:14" ht="30">
      <c r="B69" s="49" t="s">
        <v>4660</v>
      </c>
      <c r="C69" s="41" t="s">
        <v>3001</v>
      </c>
      <c r="D69" s="60"/>
      <c r="E69" s="60"/>
    </row>
    <row r="70" spans="2:14">
      <c r="B70" s="47" t="s">
        <v>4661</v>
      </c>
      <c r="C70" s="41" t="s">
        <v>3003</v>
      </c>
      <c r="D70" s="60"/>
      <c r="E70" s="60"/>
    </row>
    <row r="72" spans="2:14">
      <c r="M72" s="13" t="str">
        <f>Show!$B$127&amp;Show!$B$127&amp;"S.25.03.01.04 Rows {"&amp;COLUMN($C$1)&amp;"}"</f>
        <v>!!S.25.03.01.04 Rows {3}</v>
      </c>
      <c r="N72" s="13" t="str">
        <f>Show!$B$127&amp;Show!$B$127&amp;"S.25.03.01.04 Columns {"&amp;COLUMN($E$1)&amp;"}"</f>
        <v>!!S.25.03.01.04 Columns {5}</v>
      </c>
    </row>
    <row r="74" spans="2:14" ht="18.75">
      <c r="B74" s="88" t="s">
        <v>4743</v>
      </c>
      <c r="C74" s="87"/>
      <c r="D74" s="87"/>
      <c r="E74" s="87"/>
      <c r="F74" s="87"/>
      <c r="G74" s="87"/>
      <c r="H74" s="87"/>
      <c r="I74" s="87"/>
      <c r="J74" s="87"/>
      <c r="K74" s="87"/>
      <c r="L74" s="87"/>
    </row>
    <row r="78" spans="2:14">
      <c r="D78" s="89" t="s">
        <v>2877</v>
      </c>
    </row>
    <row r="79" spans="2:14">
      <c r="D79" s="91"/>
    </row>
    <row r="80" spans="2:14">
      <c r="D80" s="89" t="s">
        <v>4663</v>
      </c>
    </row>
    <row r="81" spans="2:14">
      <c r="D81" s="91"/>
    </row>
    <row r="82" spans="2:14">
      <c r="D82" s="45" t="s">
        <v>3375</v>
      </c>
      <c r="M82" s="13" t="str">
        <f>Show!$B$127&amp;"S.25.03.01.05 Rows {"&amp;COLUMN($C$1)&amp;"}"&amp;"@ForceFilingCode:true"</f>
        <v>!S.25.03.01.05 Rows {3}@ForceFilingCode:true</v>
      </c>
      <c r="N82" s="13" t="str">
        <f>Show!$B$127&amp;"S.25.03.01.05 Columns {"&amp;COLUMN($D$1)&amp;"}"</f>
        <v>!S.25.03.01.05 Columns {4}</v>
      </c>
    </row>
    <row r="83" spans="2:14">
      <c r="B83" s="43" t="s">
        <v>2880</v>
      </c>
      <c r="C83" s="44" t="s">
        <v>2878</v>
      </c>
      <c r="D83" s="46"/>
    </row>
    <row r="84" spans="2:14" ht="30">
      <c r="B84" s="47" t="s">
        <v>4716</v>
      </c>
      <c r="C84" s="41" t="s">
        <v>3005</v>
      </c>
      <c r="D84" s="60"/>
    </row>
    <row r="85" spans="2:14" ht="45">
      <c r="B85" s="49" t="s">
        <v>4717</v>
      </c>
      <c r="C85" s="41" t="s">
        <v>3007</v>
      </c>
      <c r="D85" s="60"/>
    </row>
    <row r="86" spans="2:14" ht="60">
      <c r="B86" s="49" t="s">
        <v>4718</v>
      </c>
      <c r="C86" s="41" t="s">
        <v>3009</v>
      </c>
      <c r="D86" s="60"/>
    </row>
    <row r="87" spans="2:14" ht="45">
      <c r="B87" s="49" t="s">
        <v>4735</v>
      </c>
      <c r="C87" s="41" t="s">
        <v>3011</v>
      </c>
      <c r="D87" s="60"/>
    </row>
    <row r="88" spans="2:14" ht="45">
      <c r="B88" s="49" t="s">
        <v>4720</v>
      </c>
      <c r="C88" s="41" t="s">
        <v>3013</v>
      </c>
      <c r="D88" s="60"/>
    </row>
    <row r="89" spans="2:14" ht="30">
      <c r="B89" s="49" t="s">
        <v>4721</v>
      </c>
      <c r="C89" s="41" t="s">
        <v>3015</v>
      </c>
      <c r="D89" s="60"/>
    </row>
    <row r="91" spans="2:14">
      <c r="M91" s="13" t="str">
        <f>Show!$B$127&amp;Show!$B$127&amp;"S.25.03.01.05 Rows {"&amp;COLUMN($C$1)&amp;"}"</f>
        <v>!!S.25.03.01.05 Rows {3}</v>
      </c>
      <c r="N91" s="13" t="str">
        <f>Show!$B$127&amp;Show!$B$127&amp;"S.25.03.01.05 Columns {"&amp;COLUMN($D$1)&amp;"}"</f>
        <v>!!S.25.03.01.05 Columns {4}</v>
      </c>
    </row>
  </sheetData>
  <sheetProtection sheet="1" objects="1" scenarios="1"/>
  <mergeCells count="15">
    <mergeCell ref="D21:D24"/>
    <mergeCell ref="B2:O2"/>
    <mergeCell ref="B5:L5"/>
    <mergeCell ref="B9:B11"/>
    <mergeCell ref="C9:E10"/>
    <mergeCell ref="B17:L17"/>
    <mergeCell ref="B74:L74"/>
    <mergeCell ref="D78:D79"/>
    <mergeCell ref="D80:D81"/>
    <mergeCell ref="B44:L44"/>
    <mergeCell ref="D48:D49"/>
    <mergeCell ref="B57:L57"/>
    <mergeCell ref="D61:E62"/>
    <mergeCell ref="D63:D64"/>
    <mergeCell ref="E63:E64"/>
  </mergeCells>
  <dataValidations count="2">
    <dataValidation type="list" errorStyle="warning" allowBlank="1" showInputMessage="1" showErrorMessage="1" sqref="E13" xr:uid="{6A78E5FD-1E7D-4F75-90B7-F8BD7ADE5C40}">
      <formula1>hier_AP_14</formula1>
    </dataValidation>
    <dataValidation type="list" errorStyle="warning" allowBlank="1" showInputMessage="1" showErrorMessage="1" sqref="D53" xr:uid="{7CAAFA6D-AEB5-4C92-B8AD-E3619FD68B9B}">
      <formula1>hier_AP_24</formula1>
    </dataValidation>
  </dataValidations>
  <pageMargins left="0.7" right="0.7" top="0.75" bottom="0.75" header="0.3" footer="0.3"/>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32F86-E855-43F6-B053-746BC77F0EAB}">
  <sheetPr codeName="Blad132"/>
  <dimension ref="B2:O50"/>
  <sheetViews>
    <sheetView showGridLines="0" workbookViewId="0"/>
  </sheetViews>
  <sheetFormatPr defaultRowHeight="15"/>
  <cols>
    <col min="2" max="2" width="28.28515625" bestFit="1" customWidth="1"/>
    <col min="3" max="3" width="40.7109375" customWidth="1"/>
    <col min="4" max="4" width="15.7109375" customWidth="1"/>
    <col min="5" max="5" width="40.7109375" customWidth="1"/>
  </cols>
  <sheetData>
    <row r="2" spans="2:15" ht="23.25">
      <c r="B2" s="86" t="s">
        <v>705</v>
      </c>
      <c r="C2" s="87"/>
      <c r="D2" s="87"/>
      <c r="E2" s="87"/>
      <c r="F2" s="87"/>
      <c r="G2" s="87"/>
      <c r="H2" s="87"/>
      <c r="I2" s="87"/>
      <c r="J2" s="87"/>
      <c r="K2" s="87"/>
      <c r="L2" s="87"/>
      <c r="M2" s="87"/>
      <c r="N2" s="87"/>
      <c r="O2" s="87"/>
    </row>
    <row r="5" spans="2:15" ht="18.75">
      <c r="B5" s="88" t="s">
        <v>4744</v>
      </c>
      <c r="C5" s="87"/>
      <c r="D5" s="87"/>
      <c r="E5" s="87"/>
      <c r="F5" s="87"/>
      <c r="G5" s="87"/>
      <c r="H5" s="87"/>
      <c r="I5" s="87"/>
      <c r="J5" s="87"/>
      <c r="K5" s="87"/>
      <c r="L5" s="87"/>
    </row>
    <row r="9" spans="2:15">
      <c r="B9" s="89" t="s">
        <v>4701</v>
      </c>
      <c r="C9" s="92" t="s">
        <v>2877</v>
      </c>
      <c r="D9" s="93"/>
      <c r="E9" s="94"/>
    </row>
    <row r="10" spans="2:15">
      <c r="B10" s="90"/>
      <c r="C10" s="95"/>
      <c r="D10" s="96"/>
      <c r="E10" s="97"/>
    </row>
    <row r="11" spans="2:15" ht="60">
      <c r="B11" s="91"/>
      <c r="C11" s="55" t="s">
        <v>4702</v>
      </c>
      <c r="D11" s="55" t="s">
        <v>4703</v>
      </c>
      <c r="E11" s="55" t="s">
        <v>4704</v>
      </c>
    </row>
    <row r="12" spans="2:15">
      <c r="B12" s="42" t="s">
        <v>2879</v>
      </c>
      <c r="C12" s="42" t="s">
        <v>3219</v>
      </c>
      <c r="D12" s="42" t="s">
        <v>3225</v>
      </c>
      <c r="E12" s="42" t="s">
        <v>3231</v>
      </c>
      <c r="M12" s="13" t="str">
        <f>Show!$B$128&amp;"S.25.03.04.01 Rows {"&amp;COLUMN($B$1)&amp;"}"&amp;"@ForceFilingCode:true"</f>
        <v>!S.25.03.04.01 Rows {2}@ForceFilingCode:true</v>
      </c>
      <c r="N12" s="13" t="str">
        <f>Show!$B$128&amp;"S.25.03.04.01 Columns {"&amp;COLUMN($B$1)&amp;"}"</f>
        <v>!S.25.03.04.01 Columns {2}</v>
      </c>
    </row>
    <row r="13" spans="2:15">
      <c r="B13" s="50"/>
      <c r="C13" s="51"/>
      <c r="D13" s="60"/>
      <c r="E13" s="51"/>
    </row>
    <row r="15" spans="2:15">
      <c r="M15" s="13" t="str">
        <f>Show!$B$128&amp;Show!$B$128&amp;"S.25.03.04.01 Rows {"&amp;COLUMN($B$1)&amp;"}"</f>
        <v>!!S.25.03.04.01 Rows {2}</v>
      </c>
      <c r="N15" s="13" t="str">
        <f>Show!$B$128&amp;Show!$B$128&amp;"S.25.03.04.01 Columns {"&amp;COLUMN($E$1)&amp;"}"</f>
        <v>!!S.25.03.04.01 Columns {5}</v>
      </c>
    </row>
    <row r="17" spans="2:14" ht="18.75">
      <c r="B17" s="88" t="s">
        <v>4745</v>
      </c>
      <c r="C17" s="87"/>
      <c r="D17" s="87"/>
      <c r="E17" s="87"/>
      <c r="F17" s="87"/>
      <c r="G17" s="87"/>
      <c r="H17" s="87"/>
      <c r="I17" s="87"/>
      <c r="J17" s="87"/>
      <c r="K17" s="87"/>
      <c r="L17" s="87"/>
    </row>
    <row r="21" spans="2:14">
      <c r="D21" s="89" t="s">
        <v>2877</v>
      </c>
    </row>
    <row r="22" spans="2:14">
      <c r="D22" s="90"/>
    </row>
    <row r="23" spans="2:14">
      <c r="D23" s="90"/>
    </row>
    <row r="24" spans="2:14">
      <c r="D24" s="91"/>
    </row>
    <row r="25" spans="2:14">
      <c r="D25" s="45" t="s">
        <v>3239</v>
      </c>
      <c r="M25" s="13" t="str">
        <f>Show!$B$128&amp;"S.25.03.04.02 Rows {"&amp;COLUMN($C$1)&amp;"}"&amp;"@ForceFilingCode:true"</f>
        <v>!S.25.03.04.02 Rows {3}@ForceFilingCode:true</v>
      </c>
      <c r="N25" s="13" t="str">
        <f>Show!$B$128&amp;"S.25.03.04.02 Columns {"&amp;COLUMN($D$1)&amp;"}"</f>
        <v>!S.25.03.04.02 Columns {4}</v>
      </c>
    </row>
    <row r="26" spans="2:14">
      <c r="B26" s="43" t="s">
        <v>2880</v>
      </c>
      <c r="C26" s="44" t="s">
        <v>2878</v>
      </c>
      <c r="D26" s="46"/>
    </row>
    <row r="27" spans="2:14" ht="30">
      <c r="B27" s="47" t="s">
        <v>4707</v>
      </c>
      <c r="C27" s="41" t="s">
        <v>2901</v>
      </c>
      <c r="D27" s="60"/>
    </row>
    <row r="28" spans="2:14">
      <c r="B28" s="47" t="s">
        <v>4631</v>
      </c>
      <c r="C28" s="41" t="s">
        <v>2891</v>
      </c>
      <c r="D28" s="60"/>
    </row>
    <row r="29" spans="2:14" ht="60">
      <c r="B29" s="47" t="s">
        <v>4640</v>
      </c>
      <c r="C29" s="41" t="s">
        <v>2911</v>
      </c>
      <c r="D29" s="60"/>
    </row>
    <row r="30" spans="2:14" ht="45">
      <c r="B30" s="47" t="s">
        <v>4708</v>
      </c>
      <c r="C30" s="41" t="s">
        <v>2919</v>
      </c>
      <c r="D30" s="60"/>
    </row>
    <row r="31" spans="2:14">
      <c r="B31" s="47" t="s">
        <v>4671</v>
      </c>
      <c r="C31" s="41" t="s">
        <v>2921</v>
      </c>
      <c r="D31" s="60"/>
    </row>
    <row r="32" spans="2:14" ht="30">
      <c r="B32" s="47" t="s">
        <v>4643</v>
      </c>
      <c r="C32" s="41" t="s">
        <v>2923</v>
      </c>
      <c r="D32" s="63"/>
    </row>
    <row r="33" spans="2:4">
      <c r="B33" s="47" t="s">
        <v>4644</v>
      </c>
      <c r="C33" s="44" t="s">
        <v>2878</v>
      </c>
      <c r="D33" s="46"/>
    </row>
    <row r="34" spans="2:4" ht="60">
      <c r="B34" s="49" t="s">
        <v>4709</v>
      </c>
      <c r="C34" s="41" t="s">
        <v>2939</v>
      </c>
      <c r="D34" s="60"/>
    </row>
    <row r="35" spans="2:4" ht="45">
      <c r="B35" s="49" t="s">
        <v>4710</v>
      </c>
      <c r="C35" s="41" t="s">
        <v>2941</v>
      </c>
      <c r="D35" s="60"/>
    </row>
    <row r="36" spans="2:4" ht="60">
      <c r="B36" s="49" t="s">
        <v>4646</v>
      </c>
      <c r="C36" s="41" t="s">
        <v>2961</v>
      </c>
      <c r="D36" s="60"/>
    </row>
    <row r="37" spans="2:4" ht="60">
      <c r="B37" s="49" t="s">
        <v>4711</v>
      </c>
      <c r="C37" s="41" t="s">
        <v>2963</v>
      </c>
      <c r="D37" s="60"/>
    </row>
    <row r="38" spans="2:4" ht="75">
      <c r="B38" s="49" t="s">
        <v>4712</v>
      </c>
      <c r="C38" s="41" t="s">
        <v>2965</v>
      </c>
      <c r="D38" s="60"/>
    </row>
    <row r="39" spans="2:4" ht="45">
      <c r="B39" s="49" t="s">
        <v>4649</v>
      </c>
      <c r="C39" s="41" t="s">
        <v>2967</v>
      </c>
      <c r="D39" s="60"/>
    </row>
    <row r="40" spans="2:4" ht="30">
      <c r="B40" s="49" t="s">
        <v>4651</v>
      </c>
      <c r="C40" s="41" t="s">
        <v>2971</v>
      </c>
      <c r="D40" s="60"/>
    </row>
    <row r="41" spans="2:4" ht="45">
      <c r="B41" s="49" t="s">
        <v>4673</v>
      </c>
      <c r="C41" s="41" t="s">
        <v>2973</v>
      </c>
      <c r="D41" s="63"/>
    </row>
    <row r="42" spans="2:4" ht="30">
      <c r="B42" s="47" t="s">
        <v>4674</v>
      </c>
      <c r="C42" s="44" t="s">
        <v>2878</v>
      </c>
      <c r="D42" s="46"/>
    </row>
    <row r="43" spans="2:4" ht="60">
      <c r="B43" s="49" t="s">
        <v>4675</v>
      </c>
      <c r="C43" s="41" t="s">
        <v>2977</v>
      </c>
      <c r="D43" s="60"/>
    </row>
    <row r="44" spans="2:4" ht="150">
      <c r="B44" s="49" t="s">
        <v>4676</v>
      </c>
      <c r="C44" s="41" t="s">
        <v>2979</v>
      </c>
      <c r="D44" s="60"/>
    </row>
    <row r="45" spans="2:4" ht="105">
      <c r="B45" s="49" t="s">
        <v>4677</v>
      </c>
      <c r="C45" s="41" t="s">
        <v>2981</v>
      </c>
      <c r="D45" s="60"/>
    </row>
    <row r="46" spans="2:4" ht="120">
      <c r="B46" s="49" t="s">
        <v>4678</v>
      </c>
      <c r="C46" s="41" t="s">
        <v>2983</v>
      </c>
      <c r="D46" s="60"/>
    </row>
    <row r="47" spans="2:4" ht="60">
      <c r="B47" s="49" t="s">
        <v>4679</v>
      </c>
      <c r="C47" s="41" t="s">
        <v>2985</v>
      </c>
      <c r="D47" s="60"/>
    </row>
    <row r="48" spans="2:4" ht="30">
      <c r="B48" s="49" t="s">
        <v>4680</v>
      </c>
      <c r="C48" s="41" t="s">
        <v>2987</v>
      </c>
      <c r="D48" s="60"/>
    </row>
    <row r="50" spans="13:14">
      <c r="M50" s="13" t="str">
        <f>Show!$B$128&amp;Show!$B$128&amp;"S.25.03.04.02 Rows {"&amp;COLUMN($C$1)&amp;"}"</f>
        <v>!!S.25.03.04.02 Rows {3}</v>
      </c>
      <c r="N50" s="13" t="str">
        <f>Show!$B$128&amp;Show!$B$128&amp;"S.25.03.04.02 Columns {"&amp;COLUMN($D$1)&amp;"}"</f>
        <v>!!S.25.03.04.02 Columns {4}</v>
      </c>
    </row>
  </sheetData>
  <sheetProtection sheet="1" objects="1" scenarios="1"/>
  <mergeCells count="6">
    <mergeCell ref="D21:D24"/>
    <mergeCell ref="B2:O2"/>
    <mergeCell ref="B5:L5"/>
    <mergeCell ref="B9:B11"/>
    <mergeCell ref="C9:E10"/>
    <mergeCell ref="B17:L17"/>
  </mergeCells>
  <dataValidations count="1">
    <dataValidation type="list" errorStyle="warning" allowBlank="1" showInputMessage="1" showErrorMessage="1" sqref="E13" xr:uid="{664DD499-6113-4ACB-B33F-C50F3BBD4508}">
      <formula1>hier_AP_14</formula1>
    </dataValidation>
  </dataValidations>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65550-0DEB-4DB9-9235-F7D46B20E275}">
  <sheetPr codeName="Blad133"/>
  <dimension ref="B2:O73"/>
  <sheetViews>
    <sheetView showGridLines="0" workbookViewId="0"/>
  </sheetViews>
  <sheetFormatPr defaultRowHeight="15"/>
  <cols>
    <col min="2" max="2" width="28.28515625" bestFit="1" customWidth="1"/>
    <col min="3" max="3" width="40.7109375" customWidth="1"/>
    <col min="4" max="4" width="15.7109375" customWidth="1"/>
  </cols>
  <sheetData>
    <row r="2" spans="2:15" ht="23.25">
      <c r="B2" s="86" t="s">
        <v>703</v>
      </c>
      <c r="C2" s="87"/>
      <c r="D2" s="87"/>
      <c r="E2" s="87"/>
      <c r="F2" s="87"/>
      <c r="G2" s="87"/>
      <c r="H2" s="87"/>
      <c r="I2" s="87"/>
      <c r="J2" s="87"/>
      <c r="K2" s="87"/>
      <c r="L2" s="87"/>
      <c r="M2" s="87"/>
      <c r="N2" s="87"/>
      <c r="O2" s="87"/>
    </row>
    <row r="5" spans="2:15" ht="18.75">
      <c r="B5" s="88" t="s">
        <v>4746</v>
      </c>
      <c r="C5" s="87"/>
      <c r="D5" s="87"/>
      <c r="E5" s="87"/>
      <c r="F5" s="87"/>
      <c r="G5" s="87"/>
      <c r="H5" s="87"/>
      <c r="I5" s="87"/>
      <c r="J5" s="87"/>
      <c r="K5" s="87"/>
      <c r="L5" s="87"/>
    </row>
    <row r="9" spans="2:15">
      <c r="B9" s="89" t="s">
        <v>4701</v>
      </c>
      <c r="C9" s="92" t="s">
        <v>2877</v>
      </c>
      <c r="D9" s="94"/>
    </row>
    <row r="10" spans="2:15">
      <c r="B10" s="90"/>
      <c r="C10" s="95"/>
      <c r="D10" s="97"/>
    </row>
    <row r="11" spans="2:15" ht="60">
      <c r="B11" s="91"/>
      <c r="C11" s="55" t="s">
        <v>4702</v>
      </c>
      <c r="D11" s="55" t="s">
        <v>4703</v>
      </c>
    </row>
    <row r="12" spans="2:15">
      <c r="B12" s="42" t="s">
        <v>2879</v>
      </c>
      <c r="C12" s="42" t="s">
        <v>3219</v>
      </c>
      <c r="D12" s="42" t="s">
        <v>3225</v>
      </c>
      <c r="L12" s="13" t="str">
        <f>Show!$B$129&amp;"S.25.03.21.01 Rows {"&amp;COLUMN($B$1)&amp;"}"&amp;"@ForceFilingCode:true"</f>
        <v>!S.25.03.21.01 Rows {2}@ForceFilingCode:true</v>
      </c>
      <c r="M12" s="13" t="str">
        <f>Show!$B$129&amp;"S.25.03.21.01 Columns {"&amp;COLUMN($B$1)&amp;"}"</f>
        <v>!S.25.03.21.01 Columns {2}</v>
      </c>
    </row>
    <row r="13" spans="2:15">
      <c r="B13" s="50"/>
      <c r="C13" s="51"/>
      <c r="D13" s="60"/>
    </row>
    <row r="15" spans="2:15">
      <c r="L15" s="13" t="str">
        <f>Show!$B$129&amp;Show!$B$129&amp;"S.25.03.21.01 Rows {"&amp;COLUMN($B$1)&amp;"}"</f>
        <v>!!S.25.03.21.01 Rows {2}</v>
      </c>
      <c r="M15" s="13" t="str">
        <f>Show!$B$129&amp;Show!$B$129&amp;"S.25.03.21.01 Columns {"&amp;COLUMN($D$1)&amp;"}"</f>
        <v>!!S.25.03.21.01 Columns {4}</v>
      </c>
    </row>
    <row r="17" spans="2:13" ht="18.75">
      <c r="B17" s="88" t="s">
        <v>4747</v>
      </c>
      <c r="C17" s="87"/>
      <c r="D17" s="87"/>
      <c r="E17" s="87"/>
      <c r="F17" s="87"/>
      <c r="G17" s="87"/>
      <c r="H17" s="87"/>
      <c r="I17" s="87"/>
      <c r="J17" s="87"/>
      <c r="K17" s="87"/>
      <c r="L17" s="87"/>
    </row>
    <row r="21" spans="2:13">
      <c r="D21" s="89" t="s">
        <v>2877</v>
      </c>
    </row>
    <row r="22" spans="2:13">
      <c r="D22" s="90"/>
    </row>
    <row r="23" spans="2:13">
      <c r="D23" s="90"/>
    </row>
    <row r="24" spans="2:13">
      <c r="D24" s="91"/>
    </row>
    <row r="25" spans="2:13">
      <c r="D25" s="45" t="s">
        <v>3239</v>
      </c>
      <c r="L25" s="13" t="str">
        <f>Show!$B$129&amp;"S.25.03.21.02 Rows {"&amp;COLUMN($C$1)&amp;"}"&amp;"@ForceFilingCode:true"</f>
        <v>!S.25.03.21.02 Rows {3}@ForceFilingCode:true</v>
      </c>
      <c r="M25" s="13" t="str">
        <f>Show!$B$129&amp;"S.25.03.21.02 Columns {"&amp;COLUMN($D$1)&amp;"}"</f>
        <v>!S.25.03.21.02 Columns {4}</v>
      </c>
    </row>
    <row r="26" spans="2:13">
      <c r="B26" s="43" t="s">
        <v>2880</v>
      </c>
      <c r="C26" s="44" t="s">
        <v>2878</v>
      </c>
      <c r="D26" s="46"/>
    </row>
    <row r="27" spans="2:13" ht="30">
      <c r="B27" s="47" t="s">
        <v>4707</v>
      </c>
      <c r="C27" s="41" t="s">
        <v>2901</v>
      </c>
      <c r="D27" s="60"/>
    </row>
    <row r="28" spans="2:13">
      <c r="B28" s="47" t="s">
        <v>4631</v>
      </c>
      <c r="C28" s="41" t="s">
        <v>2891</v>
      </c>
      <c r="D28" s="60"/>
    </row>
    <row r="29" spans="2:13" ht="75">
      <c r="B29" s="47" t="s">
        <v>4740</v>
      </c>
      <c r="C29" s="41" t="s">
        <v>2911</v>
      </c>
      <c r="D29" s="60"/>
    </row>
    <row r="30" spans="2:13" ht="45">
      <c r="B30" s="47" t="s">
        <v>4708</v>
      </c>
      <c r="C30" s="41" t="s">
        <v>2919</v>
      </c>
      <c r="D30" s="60"/>
    </row>
    <row r="31" spans="2:13">
      <c r="B31" s="47" t="s">
        <v>4671</v>
      </c>
      <c r="C31" s="41" t="s">
        <v>2921</v>
      </c>
      <c r="D31" s="60"/>
    </row>
    <row r="32" spans="2:13" ht="30">
      <c r="B32" s="47" t="s">
        <v>4643</v>
      </c>
      <c r="C32" s="41" t="s">
        <v>2923</v>
      </c>
      <c r="D32" s="63"/>
    </row>
    <row r="33" spans="2:13">
      <c r="B33" s="47" t="s">
        <v>4644</v>
      </c>
      <c r="C33" s="44" t="s">
        <v>2878</v>
      </c>
      <c r="D33" s="46"/>
    </row>
    <row r="34" spans="2:13" ht="60">
      <c r="B34" s="49" t="s">
        <v>4709</v>
      </c>
      <c r="C34" s="41" t="s">
        <v>2939</v>
      </c>
      <c r="D34" s="60"/>
    </row>
    <row r="35" spans="2:13" ht="45">
      <c r="B35" s="49" t="s">
        <v>4710</v>
      </c>
      <c r="C35" s="41" t="s">
        <v>2941</v>
      </c>
      <c r="D35" s="60"/>
    </row>
    <row r="36" spans="2:13" ht="60">
      <c r="B36" s="49" t="s">
        <v>4646</v>
      </c>
      <c r="C36" s="41" t="s">
        <v>2961</v>
      </c>
      <c r="D36" s="60"/>
    </row>
    <row r="37" spans="2:13" ht="60">
      <c r="B37" s="49" t="s">
        <v>4711</v>
      </c>
      <c r="C37" s="41" t="s">
        <v>2963</v>
      </c>
      <c r="D37" s="60"/>
    </row>
    <row r="38" spans="2:13" ht="75">
      <c r="B38" s="49" t="s">
        <v>4712</v>
      </c>
      <c r="C38" s="41" t="s">
        <v>2965</v>
      </c>
      <c r="D38" s="60"/>
    </row>
    <row r="39" spans="2:13" ht="45">
      <c r="B39" s="49" t="s">
        <v>4649</v>
      </c>
      <c r="C39" s="41" t="s">
        <v>2967</v>
      </c>
      <c r="D39" s="60"/>
    </row>
    <row r="41" spans="2:13">
      <c r="L41" s="13" t="str">
        <f>Show!$B$129&amp;Show!$B$129&amp;"S.25.03.21.02 Rows {"&amp;COLUMN($C$1)&amp;"}"</f>
        <v>!!S.25.03.21.02 Rows {3}</v>
      </c>
      <c r="M41" s="13" t="str">
        <f>Show!$B$129&amp;Show!$B$129&amp;"S.25.03.21.02 Columns {"&amp;COLUMN($D$1)&amp;"}"</f>
        <v>!!S.25.03.21.02 Columns {4}</v>
      </c>
    </row>
    <row r="43" spans="2:13" ht="18.75">
      <c r="B43" s="88" t="s">
        <v>4748</v>
      </c>
      <c r="C43" s="87"/>
      <c r="D43" s="87"/>
      <c r="E43" s="87"/>
      <c r="F43" s="87"/>
      <c r="G43" s="87"/>
      <c r="H43" s="87"/>
      <c r="I43" s="87"/>
      <c r="J43" s="87"/>
      <c r="K43" s="87"/>
      <c r="L43" s="87"/>
    </row>
    <row r="47" spans="2:13">
      <c r="D47" s="89" t="s">
        <v>2877</v>
      </c>
    </row>
    <row r="48" spans="2:13">
      <c r="D48" s="91"/>
    </row>
    <row r="49" spans="2:13">
      <c r="D49" s="55" t="s">
        <v>4653</v>
      </c>
    </row>
    <row r="50" spans="2:13">
      <c r="D50" s="45" t="s">
        <v>4654</v>
      </c>
      <c r="L50" s="13" t="str">
        <f>Show!$B$129&amp;"S.25.03.21.03 Rows {"&amp;COLUMN($C$1)&amp;"}"&amp;"@ForceFilingCode:true"</f>
        <v>!S.25.03.21.03 Rows {3}@ForceFilingCode:true</v>
      </c>
      <c r="M50" s="13" t="str">
        <f>Show!$B$129&amp;"S.25.03.21.03 Columns {"&amp;COLUMN($D$1)&amp;"}"</f>
        <v>!S.25.03.21.03 Columns {4}</v>
      </c>
    </row>
    <row r="51" spans="2:13">
      <c r="B51" s="43" t="s">
        <v>2880</v>
      </c>
      <c r="C51" s="44" t="s">
        <v>2878</v>
      </c>
      <c r="D51" s="46"/>
    </row>
    <row r="52" spans="2:13" ht="30">
      <c r="B52" s="47" t="s">
        <v>2562</v>
      </c>
      <c r="C52" s="41" t="s">
        <v>2995</v>
      </c>
      <c r="D52" s="51"/>
    </row>
    <row r="54" spans="2:13">
      <c r="L54" s="13" t="str">
        <f>Show!$B$129&amp;Show!$B$129&amp;"S.25.03.21.03 Rows {"&amp;COLUMN($C$1)&amp;"}"</f>
        <v>!!S.25.03.21.03 Rows {3}</v>
      </c>
      <c r="M54" s="13" t="str">
        <f>Show!$B$129&amp;Show!$B$129&amp;"S.25.03.21.03 Columns {"&amp;COLUMN($D$1)&amp;"}"</f>
        <v>!!S.25.03.21.03 Columns {4}</v>
      </c>
    </row>
    <row r="56" spans="2:13" ht="18.75">
      <c r="B56" s="88" t="s">
        <v>4749</v>
      </c>
      <c r="C56" s="87"/>
      <c r="D56" s="87"/>
      <c r="E56" s="87"/>
      <c r="F56" s="87"/>
      <c r="G56" s="87"/>
      <c r="H56" s="87"/>
      <c r="I56" s="87"/>
      <c r="J56" s="87"/>
      <c r="K56" s="87"/>
      <c r="L56" s="87"/>
    </row>
    <row r="60" spans="2:13">
      <c r="D60" s="89" t="s">
        <v>2877</v>
      </c>
    </row>
    <row r="61" spans="2:13">
      <c r="D61" s="91"/>
    </row>
    <row r="62" spans="2:13">
      <c r="D62" s="89" t="s">
        <v>4663</v>
      </c>
    </row>
    <row r="63" spans="2:13">
      <c r="D63" s="91"/>
    </row>
    <row r="64" spans="2:13">
      <c r="D64" s="45" t="s">
        <v>3375</v>
      </c>
      <c r="L64" s="13" t="str">
        <f>Show!$B$129&amp;"S.25.03.21.05 Rows {"&amp;COLUMN($C$1)&amp;"}"&amp;"@ForceFilingCode:true"</f>
        <v>!S.25.03.21.05 Rows {3}@ForceFilingCode:true</v>
      </c>
      <c r="M64" s="13" t="str">
        <f>Show!$B$129&amp;"S.25.03.21.05 Columns {"&amp;COLUMN($D$1)&amp;"}"</f>
        <v>!S.25.03.21.05 Columns {4}</v>
      </c>
    </row>
    <row r="65" spans="2:13">
      <c r="B65" s="43" t="s">
        <v>2880</v>
      </c>
      <c r="C65" s="44" t="s">
        <v>2878</v>
      </c>
      <c r="D65" s="46"/>
    </row>
    <row r="66" spans="2:13" ht="30">
      <c r="B66" s="47" t="s">
        <v>4716</v>
      </c>
      <c r="C66" s="41" t="s">
        <v>3005</v>
      </c>
      <c r="D66" s="60"/>
    </row>
    <row r="67" spans="2:13" ht="45">
      <c r="B67" s="49" t="s">
        <v>4717</v>
      </c>
      <c r="C67" s="41" t="s">
        <v>3007</v>
      </c>
      <c r="D67" s="60"/>
    </row>
    <row r="68" spans="2:13" ht="60">
      <c r="B68" s="49" t="s">
        <v>4718</v>
      </c>
      <c r="C68" s="41" t="s">
        <v>3009</v>
      </c>
      <c r="D68" s="60"/>
    </row>
    <row r="69" spans="2:13" ht="45">
      <c r="B69" s="49" t="s">
        <v>4735</v>
      </c>
      <c r="C69" s="41" t="s">
        <v>3011</v>
      </c>
      <c r="D69" s="60"/>
    </row>
    <row r="70" spans="2:13" ht="45">
      <c r="B70" s="49" t="s">
        <v>4720</v>
      </c>
      <c r="C70" s="41" t="s">
        <v>3013</v>
      </c>
      <c r="D70" s="60"/>
    </row>
    <row r="71" spans="2:13" ht="30">
      <c r="B71" s="49" t="s">
        <v>4721</v>
      </c>
      <c r="C71" s="41" t="s">
        <v>3015</v>
      </c>
      <c r="D71" s="60"/>
    </row>
    <row r="73" spans="2:13">
      <c r="L73" s="13" t="str">
        <f>Show!$B$129&amp;Show!$B$129&amp;"S.25.03.21.05 Rows {"&amp;COLUMN($C$1)&amp;"}"</f>
        <v>!!S.25.03.21.05 Rows {3}</v>
      </c>
      <c r="M73" s="13" t="str">
        <f>Show!$B$129&amp;Show!$B$129&amp;"S.25.03.21.05 Columns {"&amp;COLUMN($D$1)&amp;"}"</f>
        <v>!!S.25.03.21.05 Columns {4}</v>
      </c>
    </row>
  </sheetData>
  <sheetProtection sheet="1" objects="1" scenarios="1"/>
  <mergeCells count="11">
    <mergeCell ref="D21:D24"/>
    <mergeCell ref="B2:O2"/>
    <mergeCell ref="B5:L5"/>
    <mergeCell ref="B9:B11"/>
    <mergeCell ref="C9:D10"/>
    <mergeCell ref="B17:L17"/>
    <mergeCell ref="B43:L43"/>
    <mergeCell ref="D47:D48"/>
    <mergeCell ref="B56:L56"/>
    <mergeCell ref="D60:D61"/>
    <mergeCell ref="D62:D63"/>
  </mergeCells>
  <dataValidations count="1">
    <dataValidation type="list" errorStyle="warning" allowBlank="1" showInputMessage="1" showErrorMessage="1" sqref="D52" xr:uid="{BCAE4ACB-78CB-4F73-A20D-73D09E157DEB}">
      <formula1>hier_AP_24</formula1>
    </dataValidation>
  </dataValidations>
  <pageMargins left="0.7" right="0.7" top="0.75" bottom="0.75" header="0.3" footer="0.3"/>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63B6A-40E6-4FCA-817A-58A71854C81F}">
  <sheetPr codeName="Blad134"/>
  <dimension ref="B2:O49"/>
  <sheetViews>
    <sheetView showGridLines="0" workbookViewId="0"/>
  </sheetViews>
  <sheetFormatPr defaultRowHeight="15"/>
  <cols>
    <col min="2" max="2" width="28.28515625" bestFit="1" customWidth="1"/>
    <col min="3" max="3" width="40.7109375" customWidth="1"/>
    <col min="4" max="4" width="15.7109375" customWidth="1"/>
  </cols>
  <sheetData>
    <row r="2" spans="2:15" ht="23.25">
      <c r="B2" s="86" t="s">
        <v>705</v>
      </c>
      <c r="C2" s="87"/>
      <c r="D2" s="87"/>
      <c r="E2" s="87"/>
      <c r="F2" s="87"/>
      <c r="G2" s="87"/>
      <c r="H2" s="87"/>
      <c r="I2" s="87"/>
      <c r="J2" s="87"/>
      <c r="K2" s="87"/>
      <c r="L2" s="87"/>
      <c r="M2" s="87"/>
      <c r="N2" s="87"/>
      <c r="O2" s="87"/>
    </row>
    <row r="5" spans="2:15" ht="18.75">
      <c r="B5" s="88" t="s">
        <v>4750</v>
      </c>
      <c r="C5" s="87"/>
      <c r="D5" s="87"/>
      <c r="E5" s="87"/>
      <c r="F5" s="87"/>
      <c r="G5" s="87"/>
      <c r="H5" s="87"/>
      <c r="I5" s="87"/>
      <c r="J5" s="87"/>
      <c r="K5" s="87"/>
      <c r="L5" s="87"/>
    </row>
    <row r="9" spans="2:15">
      <c r="B9" s="89" t="s">
        <v>4701</v>
      </c>
      <c r="C9" s="92" t="s">
        <v>2877</v>
      </c>
      <c r="D9" s="94"/>
    </row>
    <row r="10" spans="2:15">
      <c r="B10" s="90"/>
      <c r="C10" s="95"/>
      <c r="D10" s="97"/>
    </row>
    <row r="11" spans="2:15" ht="60">
      <c r="B11" s="91"/>
      <c r="C11" s="55" t="s">
        <v>4702</v>
      </c>
      <c r="D11" s="55" t="s">
        <v>4703</v>
      </c>
    </row>
    <row r="12" spans="2:15">
      <c r="B12" s="42" t="s">
        <v>2879</v>
      </c>
      <c r="C12" s="42" t="s">
        <v>3219</v>
      </c>
      <c r="D12" s="42" t="s">
        <v>3225</v>
      </c>
      <c r="L12" s="13" t="str">
        <f>Show!$B$130&amp;"S.25.03.22.01 Rows {"&amp;COLUMN($B$1)&amp;"}"&amp;"@ForceFilingCode:true"</f>
        <v>!S.25.03.22.01 Rows {2}@ForceFilingCode:true</v>
      </c>
      <c r="M12" s="13" t="str">
        <f>Show!$B$130&amp;"S.25.03.22.01 Columns {"&amp;COLUMN($B$1)&amp;"}"</f>
        <v>!S.25.03.22.01 Columns {2}</v>
      </c>
    </row>
    <row r="13" spans="2:15">
      <c r="B13" s="50"/>
      <c r="C13" s="51"/>
      <c r="D13" s="60"/>
    </row>
    <row r="15" spans="2:15">
      <c r="L15" s="13" t="str">
        <f>Show!$B$130&amp;Show!$B$130&amp;"S.25.03.22.01 Rows {"&amp;COLUMN($B$1)&amp;"}"</f>
        <v>!!S.25.03.22.01 Rows {2}</v>
      </c>
      <c r="M15" s="13" t="str">
        <f>Show!$B$130&amp;Show!$B$130&amp;"S.25.03.22.01 Columns {"&amp;COLUMN($D$1)&amp;"}"</f>
        <v>!!S.25.03.22.01 Columns {4}</v>
      </c>
    </row>
    <row r="17" spans="2:13" ht="18.75">
      <c r="B17" s="88" t="s">
        <v>4751</v>
      </c>
      <c r="C17" s="87"/>
      <c r="D17" s="87"/>
      <c r="E17" s="87"/>
      <c r="F17" s="87"/>
      <c r="G17" s="87"/>
      <c r="H17" s="87"/>
      <c r="I17" s="87"/>
      <c r="J17" s="87"/>
      <c r="K17" s="87"/>
      <c r="L17" s="87"/>
    </row>
    <row r="21" spans="2:13">
      <c r="D21" s="89" t="s">
        <v>2877</v>
      </c>
    </row>
    <row r="22" spans="2:13">
      <c r="D22" s="90"/>
    </row>
    <row r="23" spans="2:13">
      <c r="D23" s="90"/>
    </row>
    <row r="24" spans="2:13">
      <c r="D24" s="91"/>
    </row>
    <row r="25" spans="2:13">
      <c r="D25" s="45" t="s">
        <v>3239</v>
      </c>
      <c r="L25" s="13" t="str">
        <f>Show!$B$130&amp;"S.25.03.22.02 Rows {"&amp;COLUMN($C$1)&amp;"}"&amp;"@ForceFilingCode:true"</f>
        <v>!S.25.03.22.02 Rows {3}@ForceFilingCode:true</v>
      </c>
      <c r="M25" s="13" t="str">
        <f>Show!$B$130&amp;"S.25.03.22.02 Columns {"&amp;COLUMN($D$1)&amp;"}"</f>
        <v>!S.25.03.22.02 Columns {4}</v>
      </c>
    </row>
    <row r="26" spans="2:13">
      <c r="B26" s="43" t="s">
        <v>2880</v>
      </c>
      <c r="C26" s="44" t="s">
        <v>2878</v>
      </c>
      <c r="D26" s="46"/>
    </row>
    <row r="27" spans="2:13" ht="30">
      <c r="B27" s="47" t="s">
        <v>4707</v>
      </c>
      <c r="C27" s="41" t="s">
        <v>2901</v>
      </c>
      <c r="D27" s="60"/>
    </row>
    <row r="28" spans="2:13">
      <c r="B28" s="47" t="s">
        <v>4631</v>
      </c>
      <c r="C28" s="41" t="s">
        <v>2891</v>
      </c>
      <c r="D28" s="60"/>
    </row>
    <row r="29" spans="2:13" ht="60">
      <c r="B29" s="47" t="s">
        <v>4640</v>
      </c>
      <c r="C29" s="41" t="s">
        <v>2911</v>
      </c>
      <c r="D29" s="60"/>
    </row>
    <row r="30" spans="2:13" ht="45">
      <c r="B30" s="47" t="s">
        <v>4708</v>
      </c>
      <c r="C30" s="41" t="s">
        <v>2919</v>
      </c>
      <c r="D30" s="60"/>
    </row>
    <row r="31" spans="2:13">
      <c r="B31" s="47" t="s">
        <v>4671</v>
      </c>
      <c r="C31" s="41" t="s">
        <v>2921</v>
      </c>
      <c r="D31" s="60"/>
    </row>
    <row r="32" spans="2:13" ht="30">
      <c r="B32" s="47" t="s">
        <v>4643</v>
      </c>
      <c r="C32" s="41" t="s">
        <v>2923</v>
      </c>
      <c r="D32" s="63"/>
    </row>
    <row r="33" spans="2:4">
      <c r="B33" s="47" t="s">
        <v>4644</v>
      </c>
      <c r="C33" s="44" t="s">
        <v>2878</v>
      </c>
      <c r="D33" s="46"/>
    </row>
    <row r="34" spans="2:4" ht="60">
      <c r="B34" s="49" t="s">
        <v>4709</v>
      </c>
      <c r="C34" s="41" t="s">
        <v>2939</v>
      </c>
      <c r="D34" s="60"/>
    </row>
    <row r="35" spans="2:4" ht="45">
      <c r="B35" s="49" t="s">
        <v>4710</v>
      </c>
      <c r="C35" s="41" t="s">
        <v>2941</v>
      </c>
      <c r="D35" s="60"/>
    </row>
    <row r="36" spans="2:4" ht="60">
      <c r="B36" s="49" t="s">
        <v>4646</v>
      </c>
      <c r="C36" s="41" t="s">
        <v>2961</v>
      </c>
      <c r="D36" s="60"/>
    </row>
    <row r="37" spans="2:4" ht="60">
      <c r="B37" s="49" t="s">
        <v>4711</v>
      </c>
      <c r="C37" s="41" t="s">
        <v>2963</v>
      </c>
      <c r="D37" s="60"/>
    </row>
    <row r="38" spans="2:4" ht="75">
      <c r="B38" s="49" t="s">
        <v>4712</v>
      </c>
      <c r="C38" s="41" t="s">
        <v>2965</v>
      </c>
      <c r="D38" s="60"/>
    </row>
    <row r="39" spans="2:4" ht="45">
      <c r="B39" s="49" t="s">
        <v>4649</v>
      </c>
      <c r="C39" s="41" t="s">
        <v>2967</v>
      </c>
      <c r="D39" s="60"/>
    </row>
    <row r="40" spans="2:4" ht="45">
      <c r="B40" s="49" t="s">
        <v>4673</v>
      </c>
      <c r="C40" s="41" t="s">
        <v>2973</v>
      </c>
      <c r="D40" s="63"/>
    </row>
    <row r="41" spans="2:4" ht="30">
      <c r="B41" s="47" t="s">
        <v>4674</v>
      </c>
      <c r="C41" s="44" t="s">
        <v>2878</v>
      </c>
      <c r="D41" s="46"/>
    </row>
    <row r="42" spans="2:4" ht="60">
      <c r="B42" s="49" t="s">
        <v>4675</v>
      </c>
      <c r="C42" s="41" t="s">
        <v>2977</v>
      </c>
      <c r="D42" s="60"/>
    </row>
    <row r="43" spans="2:4" ht="150">
      <c r="B43" s="49" t="s">
        <v>4676</v>
      </c>
      <c r="C43" s="41" t="s">
        <v>2979</v>
      </c>
      <c r="D43" s="60"/>
    </row>
    <row r="44" spans="2:4" ht="105">
      <c r="B44" s="49" t="s">
        <v>4677</v>
      </c>
      <c r="C44" s="41" t="s">
        <v>2981</v>
      </c>
      <c r="D44" s="60"/>
    </row>
    <row r="45" spans="2:4" ht="120">
      <c r="B45" s="49" t="s">
        <v>4678</v>
      </c>
      <c r="C45" s="41" t="s">
        <v>2983</v>
      </c>
      <c r="D45" s="60"/>
    </row>
    <row r="46" spans="2:4" ht="60">
      <c r="B46" s="49" t="s">
        <v>4679</v>
      </c>
      <c r="C46" s="41" t="s">
        <v>2985</v>
      </c>
      <c r="D46" s="60"/>
    </row>
    <row r="47" spans="2:4" ht="30">
      <c r="B47" s="49" t="s">
        <v>4680</v>
      </c>
      <c r="C47" s="41" t="s">
        <v>2987</v>
      </c>
      <c r="D47" s="60"/>
    </row>
    <row r="49" spans="12:13">
      <c r="L49" s="13" t="str">
        <f>Show!$B$130&amp;Show!$B$130&amp;"S.25.03.22.02 Rows {"&amp;COLUMN($C$1)&amp;"}"</f>
        <v>!!S.25.03.22.02 Rows {3}</v>
      </c>
      <c r="M49" s="13" t="str">
        <f>Show!$B$130&amp;Show!$B$130&amp;"S.25.03.22.02 Columns {"&amp;COLUMN($D$1)&amp;"}"</f>
        <v>!!S.25.03.22.02 Columns {4}</v>
      </c>
    </row>
  </sheetData>
  <sheetProtection sheet="1" objects="1" scenarios="1"/>
  <mergeCells count="6">
    <mergeCell ref="D21:D24"/>
    <mergeCell ref="B2:O2"/>
    <mergeCell ref="B5:L5"/>
    <mergeCell ref="B9:B11"/>
    <mergeCell ref="C9:D10"/>
    <mergeCell ref="B17:L17"/>
  </mergeCells>
  <pageMargins left="0.7" right="0.7" top="0.75" bottom="0.75" header="0.3" footer="0.3"/>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6E6B2-6DF9-4E02-BA9B-79F85B99B1A8}">
  <sheetPr codeName="Blad135"/>
  <dimension ref="B2:O106"/>
  <sheetViews>
    <sheetView showGridLines="0" workbookViewId="0"/>
  </sheetViews>
  <sheetFormatPr defaultRowHeight="15"/>
  <cols>
    <col min="2" max="2" width="61.85546875" bestFit="1" customWidth="1"/>
    <col min="3" max="3" width="40.7109375" customWidth="1"/>
    <col min="4" max="5" width="15.7109375" customWidth="1"/>
  </cols>
  <sheetData>
    <row r="2" spans="2:15" ht="23.25">
      <c r="B2" s="86" t="s">
        <v>703</v>
      </c>
      <c r="C2" s="87"/>
      <c r="D2" s="87"/>
      <c r="E2" s="87"/>
      <c r="F2" s="87"/>
      <c r="G2" s="87"/>
      <c r="H2" s="87"/>
      <c r="I2" s="87"/>
      <c r="J2" s="87"/>
      <c r="K2" s="87"/>
      <c r="L2" s="87"/>
      <c r="M2" s="87"/>
      <c r="N2" s="87"/>
      <c r="O2" s="87"/>
    </row>
    <row r="5" spans="2:15" ht="18.75">
      <c r="B5" s="88" t="s">
        <v>4752</v>
      </c>
      <c r="C5" s="87"/>
      <c r="D5" s="87"/>
      <c r="E5" s="87"/>
      <c r="F5" s="87"/>
      <c r="G5" s="87"/>
      <c r="H5" s="87"/>
      <c r="I5" s="87"/>
      <c r="J5" s="87"/>
      <c r="K5" s="87"/>
      <c r="L5" s="87"/>
    </row>
    <row r="7" spans="2:15">
      <c r="B7" t="s">
        <v>3110</v>
      </c>
      <c r="M7" s="13" t="str">
        <f>Show!$B$131&amp;"SR.25.03.01.01 Table label {"&amp;COLUMN($C$1)&amp;"}"</f>
        <v>!SR.25.03.01.01 Table label {3}</v>
      </c>
      <c r="N7" s="13" t="str">
        <f>Show!$B$131&amp;"SR.25.03.01.01 Table value {"&amp;COLUMN($D$1)&amp;"}"</f>
        <v>!SR.25.03.01.01 Table value {4}</v>
      </c>
    </row>
    <row r="8" spans="2:15">
      <c r="B8" t="s">
        <v>3111</v>
      </c>
    </row>
    <row r="9" spans="2:15">
      <c r="B9" s="40" t="s">
        <v>3788</v>
      </c>
      <c r="C9" s="53" t="s">
        <v>3115</v>
      </c>
      <c r="D9" s="51"/>
    </row>
    <row r="10" spans="2:15">
      <c r="B10" s="40" t="s">
        <v>3114</v>
      </c>
      <c r="C10" s="53" t="s">
        <v>3323</v>
      </c>
      <c r="D10" s="50"/>
    </row>
    <row r="11" spans="2:15">
      <c r="M11" s="13" t="str">
        <f>Show!$B$131&amp;Show!$B$131&amp;"SR.25.03.01.01 Table label {"&amp;COLUMN($C$1)&amp;"}"</f>
        <v>!!SR.25.03.01.01 Table label {3}</v>
      </c>
      <c r="N11" s="13" t="str">
        <f>Show!$B$131&amp;Show!$B$131&amp;"SR.25.03.01.01 Table value {"&amp;COLUMN($D$1)&amp;"}"</f>
        <v>!!SR.25.03.01.01 Table value {4}</v>
      </c>
    </row>
    <row r="13" spans="2:15">
      <c r="B13" s="89" t="s">
        <v>4701</v>
      </c>
      <c r="C13" s="92" t="s">
        <v>2877</v>
      </c>
      <c r="D13" s="93"/>
      <c r="E13" s="94"/>
    </row>
    <row r="14" spans="2:15">
      <c r="B14" s="90"/>
      <c r="C14" s="95"/>
      <c r="D14" s="96"/>
      <c r="E14" s="97"/>
    </row>
    <row r="15" spans="2:15" ht="135">
      <c r="B15" s="91"/>
      <c r="C15" s="55" t="s">
        <v>4702</v>
      </c>
      <c r="D15" s="55" t="s">
        <v>4703</v>
      </c>
      <c r="E15" s="55" t="s">
        <v>4704</v>
      </c>
    </row>
    <row r="16" spans="2:15">
      <c r="B16" s="42" t="s">
        <v>2879</v>
      </c>
      <c r="C16" s="42" t="s">
        <v>3219</v>
      </c>
      <c r="D16" s="42" t="s">
        <v>3225</v>
      </c>
      <c r="E16" s="42" t="s">
        <v>3231</v>
      </c>
      <c r="M16" s="13" t="str">
        <f>Show!$B$131&amp;"SR.25.03.01.01 Rows {"&amp;COLUMN($B$1)&amp;"}"&amp;"@ForceFilingCode:true"</f>
        <v>!SR.25.03.01.01 Rows {2}@ForceFilingCode:true</v>
      </c>
      <c r="N16" s="13" t="str">
        <f>Show!$B$131&amp;"SR.25.03.01.01 Columns {"&amp;COLUMN($B$1)&amp;"}"</f>
        <v>!SR.25.03.01.01 Columns {2}</v>
      </c>
    </row>
    <row r="17" spans="2:14">
      <c r="B17" s="50"/>
      <c r="C17" s="51"/>
      <c r="D17" s="60"/>
      <c r="E17" s="51"/>
    </row>
    <row r="19" spans="2:14">
      <c r="M19" s="13" t="str">
        <f>Show!$B$131&amp;Show!$B$131&amp;"SR.25.03.01.01 Rows {"&amp;COLUMN($B$1)&amp;"}"</f>
        <v>!!SR.25.03.01.01 Rows {2}</v>
      </c>
      <c r="N19" s="13" t="str">
        <f>Show!$B$131&amp;Show!$B$131&amp;"SR.25.03.01.01 Columns {"&amp;COLUMN($E$1)&amp;"}"</f>
        <v>!!SR.25.03.01.01 Columns {5}</v>
      </c>
    </row>
    <row r="21" spans="2:14" ht="18.75">
      <c r="B21" s="88" t="s">
        <v>4753</v>
      </c>
      <c r="C21" s="87"/>
      <c r="D21" s="87"/>
      <c r="E21" s="87"/>
      <c r="F21" s="87"/>
      <c r="G21" s="87"/>
      <c r="H21" s="87"/>
      <c r="I21" s="87"/>
      <c r="J21" s="87"/>
      <c r="K21" s="87"/>
      <c r="L21" s="87"/>
    </row>
    <row r="23" spans="2:14">
      <c r="B23" t="s">
        <v>3110</v>
      </c>
      <c r="M23" s="13" t="str">
        <f>Show!$B$131&amp;"SR.25.03.01.02 Table label {"&amp;COLUMN($C$1)&amp;"}"</f>
        <v>!SR.25.03.01.02 Table label {3}</v>
      </c>
      <c r="N23" s="13" t="str">
        <f>Show!$B$131&amp;"SR.25.03.01.02 Table value {"&amp;COLUMN($D$1)&amp;"}"</f>
        <v>!SR.25.03.01.02 Table value {4}</v>
      </c>
    </row>
    <row r="24" spans="2:14">
      <c r="B24" t="s">
        <v>3111</v>
      </c>
    </row>
    <row r="25" spans="2:14">
      <c r="B25" s="40" t="s">
        <v>3788</v>
      </c>
      <c r="C25" s="53" t="s">
        <v>3115</v>
      </c>
      <c r="D25" s="51"/>
    </row>
    <row r="26" spans="2:14">
      <c r="B26" s="40" t="s">
        <v>3114</v>
      </c>
      <c r="C26" s="53" t="s">
        <v>3323</v>
      </c>
      <c r="D26" s="50"/>
    </row>
    <row r="27" spans="2:14">
      <c r="M27" s="13" t="str">
        <f>Show!$B$131&amp;Show!$B$131&amp;"SR.25.03.01.02 Table label {"&amp;COLUMN($C$1)&amp;"}"</f>
        <v>!!SR.25.03.01.02 Table label {3}</v>
      </c>
      <c r="N27" s="13" t="str">
        <f>Show!$B$131&amp;Show!$B$131&amp;"SR.25.03.01.02 Table value {"&amp;COLUMN($D$1)&amp;"}"</f>
        <v>!!SR.25.03.01.02 Table value {4}</v>
      </c>
    </row>
    <row r="29" spans="2:14">
      <c r="D29" s="89" t="s">
        <v>2877</v>
      </c>
    </row>
    <row r="30" spans="2:14">
      <c r="D30" s="90"/>
    </row>
    <row r="31" spans="2:14">
      <c r="D31" s="90"/>
    </row>
    <row r="32" spans="2:14">
      <c r="D32" s="91"/>
    </row>
    <row r="33" spans="2:14">
      <c r="D33" s="45" t="s">
        <v>3239</v>
      </c>
      <c r="M33" s="13" t="str">
        <f>Show!$B$131&amp;"SR.25.03.01.02 Rows {"&amp;COLUMN($C$1)&amp;"}"&amp;"@ForceFilingCode:true"</f>
        <v>!SR.25.03.01.02 Rows {3}@ForceFilingCode:true</v>
      </c>
      <c r="N33" s="13" t="str">
        <f>Show!$B$131&amp;"SR.25.03.01.02 Columns {"&amp;COLUMN($D$1)&amp;"}"</f>
        <v>!SR.25.03.01.02 Columns {4}</v>
      </c>
    </row>
    <row r="34" spans="2:14">
      <c r="B34" s="43" t="s">
        <v>2880</v>
      </c>
      <c r="C34" s="44" t="s">
        <v>2878</v>
      </c>
      <c r="D34" s="46"/>
    </row>
    <row r="35" spans="2:14">
      <c r="B35" s="47" t="s">
        <v>4707</v>
      </c>
      <c r="C35" s="41" t="s">
        <v>2901</v>
      </c>
      <c r="D35" s="60"/>
    </row>
    <row r="36" spans="2:14">
      <c r="B36" s="47" t="s">
        <v>4631</v>
      </c>
      <c r="C36" s="41" t="s">
        <v>2891</v>
      </c>
      <c r="D36" s="60"/>
    </row>
    <row r="37" spans="2:14">
      <c r="B37" s="47" t="s">
        <v>4708</v>
      </c>
      <c r="C37" s="41" t="s">
        <v>2919</v>
      </c>
      <c r="D37" s="60"/>
    </row>
    <row r="38" spans="2:14">
      <c r="B38" s="47" t="s">
        <v>4671</v>
      </c>
      <c r="C38" s="41" t="s">
        <v>2921</v>
      </c>
      <c r="D38" s="60"/>
    </row>
    <row r="39" spans="2:14">
      <c r="B39" s="47" t="s">
        <v>4643</v>
      </c>
      <c r="C39" s="41" t="s">
        <v>2923</v>
      </c>
      <c r="D39" s="63"/>
    </row>
    <row r="40" spans="2:14">
      <c r="B40" s="47" t="s">
        <v>4644</v>
      </c>
      <c r="C40" s="44" t="s">
        <v>2878</v>
      </c>
      <c r="D40" s="46"/>
    </row>
    <row r="41" spans="2:14" ht="30">
      <c r="B41" s="49" t="s">
        <v>4709</v>
      </c>
      <c r="C41" s="41" t="s">
        <v>2939</v>
      </c>
      <c r="D41" s="60"/>
    </row>
    <row r="42" spans="2:14" ht="30">
      <c r="B42" s="49" t="s">
        <v>4710</v>
      </c>
      <c r="C42" s="41" t="s">
        <v>2941</v>
      </c>
      <c r="D42" s="60"/>
    </row>
    <row r="43" spans="2:14">
      <c r="B43" s="49" t="s">
        <v>4651</v>
      </c>
      <c r="C43" s="41" t="s">
        <v>2971</v>
      </c>
      <c r="D43" s="60"/>
    </row>
    <row r="45" spans="2:14">
      <c r="M45" s="13" t="str">
        <f>Show!$B$131&amp;Show!$B$131&amp;"SR.25.03.01.02 Rows {"&amp;COLUMN($C$1)&amp;"}"</f>
        <v>!!SR.25.03.01.02 Rows {3}</v>
      </c>
      <c r="N45" s="13" t="str">
        <f>Show!$B$131&amp;Show!$B$131&amp;"SR.25.03.01.02 Columns {"&amp;COLUMN($D$1)&amp;"}"</f>
        <v>!!SR.25.03.01.02 Columns {4}</v>
      </c>
    </row>
    <row r="47" spans="2:14" ht="18.75">
      <c r="B47" s="88" t="s">
        <v>4754</v>
      </c>
      <c r="C47" s="87"/>
      <c r="D47" s="87"/>
      <c r="E47" s="87"/>
      <c r="F47" s="87"/>
      <c r="G47" s="87"/>
      <c r="H47" s="87"/>
      <c r="I47" s="87"/>
      <c r="J47" s="87"/>
      <c r="K47" s="87"/>
      <c r="L47" s="87"/>
    </row>
    <row r="49" spans="2:14">
      <c r="B49" t="s">
        <v>3110</v>
      </c>
      <c r="M49" s="13" t="str">
        <f>Show!$B$131&amp;"SR.25.03.01.03 Table label {"&amp;COLUMN($C$1)&amp;"}"</f>
        <v>!SR.25.03.01.03 Table label {3}</v>
      </c>
      <c r="N49" s="13" t="str">
        <f>Show!$B$131&amp;"SR.25.03.01.03 Table value {"&amp;COLUMN($D$1)&amp;"}"</f>
        <v>!SR.25.03.01.03 Table value {4}</v>
      </c>
    </row>
    <row r="50" spans="2:14">
      <c r="B50" t="s">
        <v>3111</v>
      </c>
    </row>
    <row r="51" spans="2:14">
      <c r="B51" s="40" t="s">
        <v>3788</v>
      </c>
      <c r="C51" s="53" t="s">
        <v>3115</v>
      </c>
      <c r="D51" s="51"/>
    </row>
    <row r="52" spans="2:14">
      <c r="B52" s="40" t="s">
        <v>3114</v>
      </c>
      <c r="C52" s="53" t="s">
        <v>3323</v>
      </c>
      <c r="D52" s="50"/>
    </row>
    <row r="53" spans="2:14">
      <c r="M53" s="13" t="str">
        <f>Show!$B$131&amp;Show!$B$131&amp;"SR.25.03.01.03 Table label {"&amp;COLUMN($C$1)&amp;"}"</f>
        <v>!!SR.25.03.01.03 Table label {3}</v>
      </c>
      <c r="N53" s="13" t="str">
        <f>Show!$B$131&amp;Show!$B$131&amp;"SR.25.03.01.03 Table value {"&amp;COLUMN($D$1)&amp;"}"</f>
        <v>!!SR.25.03.01.03 Table value {4}</v>
      </c>
    </row>
    <row r="55" spans="2:14">
      <c r="D55" s="89" t="s">
        <v>2877</v>
      </c>
    </row>
    <row r="56" spans="2:14">
      <c r="D56" s="91"/>
    </row>
    <row r="57" spans="2:14">
      <c r="D57" s="55" t="s">
        <v>4653</v>
      </c>
    </row>
    <row r="58" spans="2:14">
      <c r="D58" s="45" t="s">
        <v>4654</v>
      </c>
      <c r="M58" s="13" t="str">
        <f>Show!$B$131&amp;"SR.25.03.01.03 Rows {"&amp;COLUMN($C$1)&amp;"}"&amp;"@ForceFilingCode:true"</f>
        <v>!SR.25.03.01.03 Rows {3}@ForceFilingCode:true</v>
      </c>
      <c r="N58" s="13" t="str">
        <f>Show!$B$131&amp;"SR.25.03.01.03 Columns {"&amp;COLUMN($D$1)&amp;"}"</f>
        <v>!SR.25.03.01.03 Columns {4}</v>
      </c>
    </row>
    <row r="59" spans="2:14">
      <c r="B59" s="43" t="s">
        <v>2880</v>
      </c>
      <c r="C59" s="44" t="s">
        <v>2878</v>
      </c>
      <c r="D59" s="46"/>
    </row>
    <row r="60" spans="2:14">
      <c r="B60" s="47" t="s">
        <v>2562</v>
      </c>
      <c r="C60" s="41" t="s">
        <v>2995</v>
      </c>
      <c r="D60" s="51"/>
    </row>
    <row r="62" spans="2:14">
      <c r="M62" s="13" t="str">
        <f>Show!$B$131&amp;Show!$B$131&amp;"SR.25.03.01.03 Rows {"&amp;COLUMN($C$1)&amp;"}"</f>
        <v>!!SR.25.03.01.03 Rows {3}</v>
      </c>
      <c r="N62" s="13" t="str">
        <f>Show!$B$131&amp;Show!$B$131&amp;"SR.25.03.01.03 Columns {"&amp;COLUMN($D$1)&amp;"}"</f>
        <v>!!SR.25.03.01.03 Columns {4}</v>
      </c>
    </row>
    <row r="64" spans="2:14" ht="18.75">
      <c r="B64" s="88" t="s">
        <v>4755</v>
      </c>
      <c r="C64" s="87"/>
      <c r="D64" s="87"/>
      <c r="E64" s="87"/>
      <c r="F64" s="87"/>
      <c r="G64" s="87"/>
      <c r="H64" s="87"/>
      <c r="I64" s="87"/>
      <c r="J64" s="87"/>
      <c r="K64" s="87"/>
      <c r="L64" s="87"/>
    </row>
    <row r="66" spans="2:14">
      <c r="B66" t="s">
        <v>3110</v>
      </c>
      <c r="M66" s="13" t="str">
        <f>Show!$B$131&amp;"SR.25.03.01.04 Table label {"&amp;COLUMN($C$1)&amp;"}"</f>
        <v>!SR.25.03.01.04 Table label {3}</v>
      </c>
      <c r="N66" s="13" t="str">
        <f>Show!$B$131&amp;"SR.25.03.01.04 Table value {"&amp;COLUMN($D$1)&amp;"}"</f>
        <v>!SR.25.03.01.04 Table value {4}</v>
      </c>
    </row>
    <row r="67" spans="2:14">
      <c r="B67" t="s">
        <v>3111</v>
      </c>
    </row>
    <row r="68" spans="2:14">
      <c r="B68" s="40" t="s">
        <v>3788</v>
      </c>
      <c r="C68" s="53" t="s">
        <v>3115</v>
      </c>
      <c r="D68" s="51"/>
    </row>
    <row r="69" spans="2:14">
      <c r="B69" s="40" t="s">
        <v>3114</v>
      </c>
      <c r="C69" s="53" t="s">
        <v>3323</v>
      </c>
      <c r="D69" s="50"/>
    </row>
    <row r="70" spans="2:14">
      <c r="M70" s="13" t="str">
        <f>Show!$B$131&amp;Show!$B$131&amp;"SR.25.03.01.04 Table label {"&amp;COLUMN($C$1)&amp;"}"</f>
        <v>!!SR.25.03.01.04 Table label {3}</v>
      </c>
      <c r="N70" s="13" t="str">
        <f>Show!$B$131&amp;Show!$B$131&amp;"SR.25.03.01.04 Table value {"&amp;COLUMN($D$1)&amp;"}"</f>
        <v>!!SR.25.03.01.04 Table value {4}</v>
      </c>
    </row>
    <row r="72" spans="2:14">
      <c r="D72" s="92" t="s">
        <v>2877</v>
      </c>
      <c r="E72" s="94"/>
    </row>
    <row r="73" spans="2:14">
      <c r="D73" s="95"/>
      <c r="E73" s="97"/>
    </row>
    <row r="74" spans="2:14">
      <c r="D74" s="89" t="s">
        <v>4656</v>
      </c>
      <c r="E74" s="89" t="s">
        <v>4657</v>
      </c>
    </row>
    <row r="75" spans="2:14">
      <c r="D75" s="91"/>
      <c r="E75" s="91"/>
    </row>
    <row r="76" spans="2:14">
      <c r="D76" s="45" t="s">
        <v>3241</v>
      </c>
      <c r="E76" s="45" t="s">
        <v>3243</v>
      </c>
      <c r="M76" s="13" t="str">
        <f>Show!$B$131&amp;"SR.25.03.01.04 Rows {"&amp;COLUMN($C$1)&amp;"}"&amp;"@ForceFilingCode:true"</f>
        <v>!SR.25.03.01.04 Rows {3}@ForceFilingCode:true</v>
      </c>
      <c r="N76" s="13" t="str">
        <f>Show!$B$131&amp;"SR.25.03.01.04 Columns {"&amp;COLUMN($D$1)&amp;"}"</f>
        <v>!SR.25.03.01.04 Columns {4}</v>
      </c>
    </row>
    <row r="77" spans="2:14">
      <c r="B77" s="43" t="s">
        <v>2880</v>
      </c>
      <c r="C77" s="44" t="s">
        <v>2878</v>
      </c>
      <c r="D77" s="56"/>
      <c r="E77" s="57"/>
    </row>
    <row r="78" spans="2:14">
      <c r="B78" s="47" t="s">
        <v>4658</v>
      </c>
      <c r="C78" s="41" t="s">
        <v>2997</v>
      </c>
      <c r="D78" s="60"/>
      <c r="E78" s="60"/>
    </row>
    <row r="79" spans="2:14">
      <c r="B79" s="49" t="s">
        <v>4659</v>
      </c>
      <c r="C79" s="41" t="s">
        <v>2999</v>
      </c>
      <c r="D79" s="60"/>
      <c r="E79" s="60"/>
    </row>
    <row r="80" spans="2:14">
      <c r="B80" s="49" t="s">
        <v>4660</v>
      </c>
      <c r="C80" s="41" t="s">
        <v>3001</v>
      </c>
      <c r="D80" s="60"/>
      <c r="E80" s="60"/>
    </row>
    <row r="81" spans="2:14">
      <c r="B81" s="47" t="s">
        <v>4661</v>
      </c>
      <c r="C81" s="41" t="s">
        <v>3003</v>
      </c>
      <c r="D81" s="60"/>
      <c r="E81" s="60"/>
    </row>
    <row r="83" spans="2:14">
      <c r="M83" s="13" t="str">
        <f>Show!$B$131&amp;Show!$B$131&amp;"SR.25.03.01.04 Rows {"&amp;COLUMN($C$1)&amp;"}"</f>
        <v>!!SR.25.03.01.04 Rows {3}</v>
      </c>
      <c r="N83" s="13" t="str">
        <f>Show!$B$131&amp;Show!$B$131&amp;"SR.25.03.01.04 Columns {"&amp;COLUMN($E$1)&amp;"}"</f>
        <v>!!SR.25.03.01.04 Columns {5}</v>
      </c>
    </row>
    <row r="85" spans="2:14" ht="18.75">
      <c r="B85" s="88" t="s">
        <v>4756</v>
      </c>
      <c r="C85" s="87"/>
      <c r="D85" s="87"/>
      <c r="E85" s="87"/>
      <c r="F85" s="87"/>
      <c r="G85" s="87"/>
      <c r="H85" s="87"/>
      <c r="I85" s="87"/>
      <c r="J85" s="87"/>
      <c r="K85" s="87"/>
      <c r="L85" s="87"/>
    </row>
    <row r="87" spans="2:14">
      <c r="B87" t="s">
        <v>3110</v>
      </c>
      <c r="M87" s="13" t="str">
        <f>Show!$B$131&amp;"SR.25.03.01.05 Table label {"&amp;COLUMN($C$1)&amp;"}"</f>
        <v>!SR.25.03.01.05 Table label {3}</v>
      </c>
      <c r="N87" s="13" t="str">
        <f>Show!$B$131&amp;"SR.25.03.01.05 Table value {"&amp;COLUMN($D$1)&amp;"}"</f>
        <v>!SR.25.03.01.05 Table value {4}</v>
      </c>
    </row>
    <row r="88" spans="2:14">
      <c r="B88" t="s">
        <v>3111</v>
      </c>
    </row>
    <row r="89" spans="2:14">
      <c r="B89" s="40" t="s">
        <v>3788</v>
      </c>
      <c r="C89" s="53" t="s">
        <v>3115</v>
      </c>
      <c r="D89" s="51"/>
    </row>
    <row r="90" spans="2:14">
      <c r="B90" s="40" t="s">
        <v>3114</v>
      </c>
      <c r="C90" s="53" t="s">
        <v>3323</v>
      </c>
      <c r="D90" s="50"/>
    </row>
    <row r="91" spans="2:14">
      <c r="M91" s="13" t="str">
        <f>Show!$B$131&amp;Show!$B$131&amp;"SR.25.03.01.05 Table label {"&amp;COLUMN($C$1)&amp;"}"</f>
        <v>!!SR.25.03.01.05 Table label {3}</v>
      </c>
      <c r="N91" s="13" t="str">
        <f>Show!$B$131&amp;Show!$B$131&amp;"SR.25.03.01.05 Table value {"&amp;COLUMN($D$1)&amp;"}"</f>
        <v>!!SR.25.03.01.05 Table value {4}</v>
      </c>
    </row>
    <row r="93" spans="2:14">
      <c r="D93" s="89" t="s">
        <v>2877</v>
      </c>
    </row>
    <row r="94" spans="2:14">
      <c r="D94" s="91"/>
    </row>
    <row r="95" spans="2:14">
      <c r="D95" s="89" t="s">
        <v>4663</v>
      </c>
    </row>
    <row r="96" spans="2:14">
      <c r="D96" s="91"/>
    </row>
    <row r="97" spans="2:14">
      <c r="D97" s="45" t="s">
        <v>3375</v>
      </c>
      <c r="M97" s="13" t="str">
        <f>Show!$B$131&amp;"SR.25.03.01.05 Rows {"&amp;COLUMN($C$1)&amp;"}"&amp;"@ForceFilingCode:true"</f>
        <v>!SR.25.03.01.05 Rows {3}@ForceFilingCode:true</v>
      </c>
      <c r="N97" s="13" t="str">
        <f>Show!$B$131&amp;"SR.25.03.01.05 Columns {"&amp;COLUMN($D$1)&amp;"}"</f>
        <v>!SR.25.03.01.05 Columns {4}</v>
      </c>
    </row>
    <row r="98" spans="2:14">
      <c r="B98" s="43" t="s">
        <v>2880</v>
      </c>
      <c r="C98" s="44" t="s">
        <v>2878</v>
      </c>
      <c r="D98" s="46"/>
    </row>
    <row r="99" spans="2:14">
      <c r="B99" s="47" t="s">
        <v>4716</v>
      </c>
      <c r="C99" s="41" t="s">
        <v>3005</v>
      </c>
      <c r="D99" s="60"/>
    </row>
    <row r="100" spans="2:14" ht="30">
      <c r="B100" s="49" t="s">
        <v>4717</v>
      </c>
      <c r="C100" s="41" t="s">
        <v>3007</v>
      </c>
      <c r="D100" s="60"/>
    </row>
    <row r="101" spans="2:14" ht="30">
      <c r="B101" s="49" t="s">
        <v>4718</v>
      </c>
      <c r="C101" s="41" t="s">
        <v>3009</v>
      </c>
      <c r="D101" s="60"/>
    </row>
    <row r="102" spans="2:14" ht="30">
      <c r="B102" s="49" t="s">
        <v>4735</v>
      </c>
      <c r="C102" s="41" t="s">
        <v>3011</v>
      </c>
      <c r="D102" s="60"/>
    </row>
    <row r="103" spans="2:14" ht="30">
      <c r="B103" s="49" t="s">
        <v>4720</v>
      </c>
      <c r="C103" s="41" t="s">
        <v>3013</v>
      </c>
      <c r="D103" s="60"/>
    </row>
    <row r="104" spans="2:14">
      <c r="B104" s="49" t="s">
        <v>4721</v>
      </c>
      <c r="C104" s="41" t="s">
        <v>3015</v>
      </c>
      <c r="D104" s="60"/>
    </row>
    <row r="106" spans="2:14">
      <c r="M106" s="13" t="str">
        <f>Show!$B$131&amp;Show!$B$131&amp;"SR.25.03.01.05 Rows {"&amp;COLUMN($C$1)&amp;"}"</f>
        <v>!!SR.25.03.01.05 Rows {3}</v>
      </c>
      <c r="N106" s="13" t="str">
        <f>Show!$B$131&amp;Show!$B$131&amp;"SR.25.03.01.05 Columns {"&amp;COLUMN($D$1)&amp;"}"</f>
        <v>!!SR.25.03.01.05 Columns {4}</v>
      </c>
    </row>
  </sheetData>
  <sheetProtection sheet="1" objects="1" scenarios="1"/>
  <mergeCells count="15">
    <mergeCell ref="D29:D32"/>
    <mergeCell ref="B2:O2"/>
    <mergeCell ref="B5:L5"/>
    <mergeCell ref="B13:B15"/>
    <mergeCell ref="C13:E14"/>
    <mergeCell ref="B21:L21"/>
    <mergeCell ref="B85:L85"/>
    <mergeCell ref="D93:D94"/>
    <mergeCell ref="D95:D96"/>
    <mergeCell ref="B47:L47"/>
    <mergeCell ref="D55:D56"/>
    <mergeCell ref="B64:L64"/>
    <mergeCell ref="D72:E73"/>
    <mergeCell ref="D74:D75"/>
    <mergeCell ref="E74:E75"/>
  </mergeCells>
  <dataValidations count="3">
    <dataValidation type="list" errorStyle="warning" allowBlank="1" showInputMessage="1" showErrorMessage="1" sqref="D9 D25 D51 D68 D89" xr:uid="{054BA594-4A16-4278-A73D-838C1DC948F7}">
      <formula1>hier_PU_20</formula1>
    </dataValidation>
    <dataValidation type="list" errorStyle="warning" allowBlank="1" showInputMessage="1" showErrorMessage="1" sqref="E17" xr:uid="{0807F5D5-5EE0-4F63-BCF9-E1F2AE86B8C5}">
      <formula1>hier_AP_14</formula1>
    </dataValidation>
    <dataValidation type="list" errorStyle="warning" allowBlank="1" showInputMessage="1" showErrorMessage="1" sqref="D60" xr:uid="{9F5B268F-9714-49F8-92CB-06739BF32AF2}">
      <formula1>hier_AP_24</formula1>
    </dataValidation>
  </dataValidations>
  <pageMargins left="0.7" right="0.7" top="0.75" bottom="0.75" header="0.3" footer="0.3"/>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DB2FE-6828-4CDA-BC9A-6B795B3ED7A8}">
  <sheetPr codeName="Blad136"/>
  <dimension ref="B2:O45"/>
  <sheetViews>
    <sheetView showGridLines="0" workbookViewId="0"/>
  </sheetViews>
  <sheetFormatPr defaultRowHeight="15"/>
  <cols>
    <col min="2" max="2" width="61.85546875" bestFit="1" customWidth="1"/>
    <col min="3" max="3" width="40.7109375" customWidth="1"/>
    <col min="4" max="4" width="15.7109375" customWidth="1"/>
    <col min="5" max="5" width="40.7109375" customWidth="1"/>
  </cols>
  <sheetData>
    <row r="2" spans="2:15" ht="23.25">
      <c r="B2" s="86" t="s">
        <v>705</v>
      </c>
      <c r="C2" s="87"/>
      <c r="D2" s="87"/>
      <c r="E2" s="87"/>
      <c r="F2" s="87"/>
      <c r="G2" s="87"/>
      <c r="H2" s="87"/>
      <c r="I2" s="87"/>
      <c r="J2" s="87"/>
      <c r="K2" s="87"/>
      <c r="L2" s="87"/>
      <c r="M2" s="87"/>
      <c r="N2" s="87"/>
      <c r="O2" s="87"/>
    </row>
    <row r="5" spans="2:15" ht="18.75">
      <c r="B5" s="88" t="s">
        <v>4757</v>
      </c>
      <c r="C5" s="87"/>
      <c r="D5" s="87"/>
      <c r="E5" s="87"/>
      <c r="F5" s="87"/>
      <c r="G5" s="87"/>
      <c r="H5" s="87"/>
      <c r="I5" s="87"/>
      <c r="J5" s="87"/>
      <c r="K5" s="87"/>
      <c r="L5" s="87"/>
    </row>
    <row r="7" spans="2:15">
      <c r="B7" t="s">
        <v>3110</v>
      </c>
      <c r="M7" s="13" t="str">
        <f>Show!$B$132&amp;"SR.25.03.04.01 Table label {"&amp;COLUMN($C$1)&amp;"}"</f>
        <v>!SR.25.03.04.01 Table label {3}</v>
      </c>
      <c r="N7" s="13" t="str">
        <f>Show!$B$132&amp;"SR.25.03.04.01 Table value {"&amp;COLUMN($D$1)&amp;"}"</f>
        <v>!SR.25.03.04.01 Table value {4}</v>
      </c>
    </row>
    <row r="8" spans="2:15">
      <c r="B8" t="s">
        <v>3111</v>
      </c>
    </row>
    <row r="9" spans="2:15">
      <c r="B9" s="40" t="s">
        <v>3788</v>
      </c>
      <c r="C9" s="53" t="s">
        <v>3115</v>
      </c>
      <c r="D9" s="51"/>
    </row>
    <row r="10" spans="2:15">
      <c r="B10" s="40" t="s">
        <v>3114</v>
      </c>
      <c r="C10" s="53" t="s">
        <v>3323</v>
      </c>
      <c r="D10" s="50"/>
    </row>
    <row r="11" spans="2:15">
      <c r="M11" s="13" t="str">
        <f>Show!$B$132&amp;Show!$B$132&amp;"SR.25.03.04.01 Table label {"&amp;COLUMN($C$1)&amp;"}"</f>
        <v>!!SR.25.03.04.01 Table label {3}</v>
      </c>
      <c r="N11" s="13" t="str">
        <f>Show!$B$132&amp;Show!$B$132&amp;"SR.25.03.04.01 Table value {"&amp;COLUMN($D$1)&amp;"}"</f>
        <v>!!SR.25.03.04.01 Table value {4}</v>
      </c>
    </row>
    <row r="13" spans="2:15">
      <c r="B13" s="89" t="s">
        <v>4701</v>
      </c>
      <c r="C13" s="92" t="s">
        <v>2877</v>
      </c>
      <c r="D13" s="93"/>
      <c r="E13" s="94"/>
    </row>
    <row r="14" spans="2:15">
      <c r="B14" s="90"/>
      <c r="C14" s="95"/>
      <c r="D14" s="96"/>
      <c r="E14" s="97"/>
    </row>
    <row r="15" spans="2:15" ht="60">
      <c r="B15" s="91"/>
      <c r="C15" s="55" t="s">
        <v>4702</v>
      </c>
      <c r="D15" s="55" t="s">
        <v>4703</v>
      </c>
      <c r="E15" s="55" t="s">
        <v>4704</v>
      </c>
    </row>
    <row r="16" spans="2:15">
      <c r="B16" s="42" t="s">
        <v>2879</v>
      </c>
      <c r="C16" s="42" t="s">
        <v>3219</v>
      </c>
      <c r="D16" s="42" t="s">
        <v>3225</v>
      </c>
      <c r="E16" s="42" t="s">
        <v>3231</v>
      </c>
      <c r="M16" s="13" t="str">
        <f>Show!$B$132&amp;"SR.25.03.04.01 Rows {"&amp;COLUMN($B$1)&amp;"}"&amp;"@ForceFilingCode:true"</f>
        <v>!SR.25.03.04.01 Rows {2}@ForceFilingCode:true</v>
      </c>
      <c r="N16" s="13" t="str">
        <f>Show!$B$132&amp;"SR.25.03.04.01 Columns {"&amp;COLUMN($B$1)&amp;"}"</f>
        <v>!SR.25.03.04.01 Columns {2}</v>
      </c>
    </row>
    <row r="17" spans="2:14">
      <c r="B17" s="50"/>
      <c r="C17" s="51"/>
      <c r="D17" s="60"/>
      <c r="E17" s="51"/>
    </row>
    <row r="19" spans="2:14">
      <c r="M19" s="13" t="str">
        <f>Show!$B$132&amp;Show!$B$132&amp;"SR.25.03.04.01 Rows {"&amp;COLUMN($B$1)&amp;"}"</f>
        <v>!!SR.25.03.04.01 Rows {2}</v>
      </c>
      <c r="N19" s="13" t="str">
        <f>Show!$B$132&amp;Show!$B$132&amp;"SR.25.03.04.01 Columns {"&amp;COLUMN($E$1)&amp;"}"</f>
        <v>!!SR.25.03.04.01 Columns {5}</v>
      </c>
    </row>
    <row r="21" spans="2:14" ht="18.75">
      <c r="B21" s="88" t="s">
        <v>4758</v>
      </c>
      <c r="C21" s="87"/>
      <c r="D21" s="87"/>
      <c r="E21" s="87"/>
      <c r="F21" s="87"/>
      <c r="G21" s="87"/>
      <c r="H21" s="87"/>
      <c r="I21" s="87"/>
      <c r="J21" s="87"/>
      <c r="K21" s="87"/>
      <c r="L21" s="87"/>
    </row>
    <row r="23" spans="2:14">
      <c r="B23" t="s">
        <v>3110</v>
      </c>
      <c r="M23" s="13" t="str">
        <f>Show!$B$132&amp;"SR.25.03.04.02 Table label {"&amp;COLUMN($C$1)&amp;"}"</f>
        <v>!SR.25.03.04.02 Table label {3}</v>
      </c>
      <c r="N23" s="13" t="str">
        <f>Show!$B$132&amp;"SR.25.03.04.02 Table value {"&amp;COLUMN($D$1)&amp;"}"</f>
        <v>!SR.25.03.04.02 Table value {4}</v>
      </c>
    </row>
    <row r="24" spans="2:14">
      <c r="B24" t="s">
        <v>3111</v>
      </c>
    </row>
    <row r="25" spans="2:14">
      <c r="B25" s="40" t="s">
        <v>3788</v>
      </c>
      <c r="C25" s="53" t="s">
        <v>3115</v>
      </c>
      <c r="D25" s="51"/>
    </row>
    <row r="26" spans="2:14">
      <c r="B26" s="40" t="s">
        <v>3114</v>
      </c>
      <c r="C26" s="53" t="s">
        <v>3323</v>
      </c>
      <c r="D26" s="50"/>
    </row>
    <row r="27" spans="2:14">
      <c r="M27" s="13" t="str">
        <f>Show!$B$132&amp;Show!$B$132&amp;"SR.25.03.04.02 Table label {"&amp;COLUMN($C$1)&amp;"}"</f>
        <v>!!SR.25.03.04.02 Table label {3}</v>
      </c>
      <c r="N27" s="13" t="str">
        <f>Show!$B$132&amp;Show!$B$132&amp;"SR.25.03.04.02 Table value {"&amp;COLUMN($D$1)&amp;"}"</f>
        <v>!!SR.25.03.04.02 Table value {4}</v>
      </c>
    </row>
    <row r="29" spans="2:14">
      <c r="D29" s="89" t="s">
        <v>2877</v>
      </c>
    </row>
    <row r="30" spans="2:14">
      <c r="D30" s="90"/>
    </row>
    <row r="31" spans="2:14">
      <c r="D31" s="90"/>
    </row>
    <row r="32" spans="2:14">
      <c r="D32" s="91"/>
    </row>
    <row r="33" spans="2:14">
      <c r="D33" s="45" t="s">
        <v>3239</v>
      </c>
      <c r="M33" s="13" t="str">
        <f>Show!$B$132&amp;"SR.25.03.04.02 Rows {"&amp;COLUMN($C$1)&amp;"}"&amp;"@ForceFilingCode:true"</f>
        <v>!SR.25.03.04.02 Rows {3}@ForceFilingCode:true</v>
      </c>
      <c r="N33" s="13" t="str">
        <f>Show!$B$132&amp;"SR.25.03.04.02 Columns {"&amp;COLUMN($D$1)&amp;"}"</f>
        <v>!SR.25.03.04.02 Columns {4}</v>
      </c>
    </row>
    <row r="34" spans="2:14">
      <c r="B34" s="43" t="s">
        <v>2880</v>
      </c>
      <c r="C34" s="44" t="s">
        <v>2878</v>
      </c>
      <c r="D34" s="46"/>
    </row>
    <row r="35" spans="2:14">
      <c r="B35" s="47" t="s">
        <v>4707</v>
      </c>
      <c r="C35" s="41" t="s">
        <v>2901</v>
      </c>
      <c r="D35" s="60"/>
    </row>
    <row r="36" spans="2:14">
      <c r="B36" s="47" t="s">
        <v>4631</v>
      </c>
      <c r="C36" s="41" t="s">
        <v>2891</v>
      </c>
      <c r="D36" s="60"/>
    </row>
    <row r="37" spans="2:14">
      <c r="B37" s="47" t="s">
        <v>4708</v>
      </c>
      <c r="C37" s="41" t="s">
        <v>2919</v>
      </c>
      <c r="D37" s="60"/>
    </row>
    <row r="38" spans="2:14">
      <c r="B38" s="47" t="s">
        <v>4671</v>
      </c>
      <c r="C38" s="41" t="s">
        <v>2921</v>
      </c>
      <c r="D38" s="60"/>
    </row>
    <row r="39" spans="2:14">
      <c r="B39" s="47" t="s">
        <v>4643</v>
      </c>
      <c r="C39" s="41" t="s">
        <v>2923</v>
      </c>
      <c r="D39" s="63"/>
    </row>
    <row r="40" spans="2:14">
      <c r="B40" s="47" t="s">
        <v>4644</v>
      </c>
      <c r="C40" s="44" t="s">
        <v>2878</v>
      </c>
      <c r="D40" s="46"/>
    </row>
    <row r="41" spans="2:14" ht="30">
      <c r="B41" s="49" t="s">
        <v>4709</v>
      </c>
      <c r="C41" s="41" t="s">
        <v>2939</v>
      </c>
      <c r="D41" s="60"/>
    </row>
    <row r="42" spans="2:14" ht="30">
      <c r="B42" s="49" t="s">
        <v>4710</v>
      </c>
      <c r="C42" s="41" t="s">
        <v>2941</v>
      </c>
      <c r="D42" s="60"/>
    </row>
    <row r="43" spans="2:14">
      <c r="B43" s="49" t="s">
        <v>4651</v>
      </c>
      <c r="C43" s="41" t="s">
        <v>2971</v>
      </c>
      <c r="D43" s="60"/>
    </row>
    <row r="45" spans="2:14">
      <c r="M45" s="13" t="str">
        <f>Show!$B$132&amp;Show!$B$132&amp;"SR.25.03.04.02 Rows {"&amp;COLUMN($C$1)&amp;"}"</f>
        <v>!!SR.25.03.04.02 Rows {3}</v>
      </c>
      <c r="N45" s="13" t="str">
        <f>Show!$B$132&amp;Show!$B$132&amp;"SR.25.03.04.02 Columns {"&amp;COLUMN($D$1)&amp;"}"</f>
        <v>!!SR.25.03.04.02 Columns {4}</v>
      </c>
    </row>
  </sheetData>
  <sheetProtection sheet="1" objects="1" scenarios="1"/>
  <mergeCells count="6">
    <mergeCell ref="D29:D32"/>
    <mergeCell ref="B2:O2"/>
    <mergeCell ref="B5:L5"/>
    <mergeCell ref="B13:B15"/>
    <mergeCell ref="C13:E14"/>
    <mergeCell ref="B21:L21"/>
  </mergeCells>
  <dataValidations count="2">
    <dataValidation type="list" errorStyle="warning" allowBlank="1" showInputMessage="1" showErrorMessage="1" sqref="D9 D25" xr:uid="{6305871C-6451-44A9-839D-0F115D384633}">
      <formula1>hier_PU_20</formula1>
    </dataValidation>
    <dataValidation type="list" errorStyle="warning" allowBlank="1" showInputMessage="1" showErrorMessage="1" sqref="E17" xr:uid="{00A34369-D976-40C8-A55A-BFEE6DE6402B}">
      <formula1>hier_AP_14</formula1>
    </dataValidation>
  </dataValidations>
  <pageMargins left="0.7" right="0.7" top="0.75" bottom="0.75" header="0.3" footer="0.3"/>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4823F-D14B-4CAB-B9A1-9660C624C20F}">
  <sheetPr codeName="Blad137"/>
  <dimension ref="B2:O17"/>
  <sheetViews>
    <sheetView showGridLines="0" workbookViewId="0"/>
  </sheetViews>
  <sheetFormatPr defaultRowHeight="15"/>
  <cols>
    <col min="2" max="2" width="31.5703125" bestFit="1" customWidth="1"/>
    <col min="4" max="4" width="15.7109375" customWidth="1"/>
  </cols>
  <sheetData>
    <row r="2" spans="2:15" ht="23.25">
      <c r="B2" s="86" t="s">
        <v>711</v>
      </c>
      <c r="C2" s="87"/>
      <c r="D2" s="87"/>
      <c r="E2" s="87"/>
      <c r="F2" s="87"/>
      <c r="G2" s="87"/>
      <c r="H2" s="87"/>
      <c r="I2" s="87"/>
      <c r="J2" s="87"/>
      <c r="K2" s="87"/>
      <c r="L2" s="87"/>
      <c r="M2" s="87"/>
      <c r="N2" s="87"/>
      <c r="O2" s="87"/>
    </row>
    <row r="5" spans="2:15" ht="18.75">
      <c r="B5" s="88" t="s">
        <v>4759</v>
      </c>
      <c r="C5" s="87"/>
      <c r="D5" s="87"/>
      <c r="E5" s="87"/>
      <c r="F5" s="87"/>
      <c r="G5" s="87"/>
      <c r="H5" s="87"/>
      <c r="I5" s="87"/>
      <c r="J5" s="87"/>
      <c r="K5" s="87"/>
      <c r="L5" s="87"/>
    </row>
    <row r="9" spans="2:15">
      <c r="D9" s="89" t="s">
        <v>2877</v>
      </c>
    </row>
    <row r="10" spans="2:15">
      <c r="D10" s="91"/>
    </row>
    <row r="11" spans="2:15" ht="45">
      <c r="D11" s="55" t="s">
        <v>4623</v>
      </c>
    </row>
    <row r="12" spans="2:15">
      <c r="D12" s="45" t="s">
        <v>2879</v>
      </c>
      <c r="I12" s="13" t="str">
        <f>Show!$B$133&amp;"S.25.04.11.01 Rows {"&amp;COLUMN($C$1)&amp;"}"&amp;"@ForceFilingCode:true"</f>
        <v>!S.25.04.11.01 Rows {3}@ForceFilingCode:true</v>
      </c>
      <c r="J12" s="13" t="str">
        <f>Show!$B$133&amp;"S.25.04.11.01 Columns {"&amp;COLUMN($D$1)&amp;"}"</f>
        <v>!S.25.04.11.01 Columns {4}</v>
      </c>
    </row>
    <row r="13" spans="2:15">
      <c r="B13" s="43" t="s">
        <v>2880</v>
      </c>
      <c r="C13" s="44" t="s">
        <v>2878</v>
      </c>
      <c r="D13" s="46"/>
    </row>
    <row r="14" spans="2:15">
      <c r="B14" s="47" t="s">
        <v>711</v>
      </c>
      <c r="C14" s="41" t="s">
        <v>2883</v>
      </c>
      <c r="D14" s="60"/>
    </row>
    <row r="15" spans="2:15">
      <c r="B15" s="47" t="s">
        <v>4255</v>
      </c>
      <c r="C15" s="41" t="s">
        <v>2885</v>
      </c>
      <c r="D15" s="60"/>
    </row>
    <row r="17" spans="9:10">
      <c r="I17" s="13" t="str">
        <f>Show!$B$133&amp;Show!$B$133&amp;"S.25.04.11.01 Rows {"&amp;COLUMN($C$1)&amp;"}"</f>
        <v>!!S.25.04.11.01 Rows {3}</v>
      </c>
      <c r="J17" s="13" t="str">
        <f>Show!$B$133&amp;Show!$B$133&amp;"S.25.04.11.01 Columns {"&amp;COLUMN($D$1)&amp;"}"</f>
        <v>!!S.25.04.11.01 Columns {4}</v>
      </c>
    </row>
  </sheetData>
  <sheetProtection sheet="1" objects="1" scenarios="1"/>
  <mergeCells count="3">
    <mergeCell ref="B2:O2"/>
    <mergeCell ref="B5:L5"/>
    <mergeCell ref="D9:D10"/>
  </mergeCells>
  <pageMargins left="0.7" right="0.7" top="0.75" bottom="0.75" header="0.3" footer="0.3"/>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83B7A-3755-4301-BCE9-BE9AC2D9E55B}">
  <sheetPr codeName="Blad138"/>
  <dimension ref="B2:O17"/>
  <sheetViews>
    <sheetView showGridLines="0" workbookViewId="0"/>
  </sheetViews>
  <sheetFormatPr defaultRowHeight="15"/>
  <cols>
    <col min="2" max="2" width="36" bestFit="1" customWidth="1"/>
    <col min="4" max="4" width="15.7109375" customWidth="1"/>
  </cols>
  <sheetData>
    <row r="2" spans="2:15" ht="23.25">
      <c r="B2" s="86" t="s">
        <v>711</v>
      </c>
      <c r="C2" s="87"/>
      <c r="D2" s="87"/>
      <c r="E2" s="87"/>
      <c r="F2" s="87"/>
      <c r="G2" s="87"/>
      <c r="H2" s="87"/>
      <c r="I2" s="87"/>
      <c r="J2" s="87"/>
      <c r="K2" s="87"/>
      <c r="L2" s="87"/>
      <c r="M2" s="87"/>
      <c r="N2" s="87"/>
      <c r="O2" s="87"/>
    </row>
    <row r="5" spans="2:15" ht="18.75">
      <c r="B5" s="88" t="s">
        <v>4760</v>
      </c>
      <c r="C5" s="87"/>
      <c r="D5" s="87"/>
      <c r="E5" s="87"/>
      <c r="F5" s="87"/>
      <c r="G5" s="87"/>
      <c r="H5" s="87"/>
      <c r="I5" s="87"/>
      <c r="J5" s="87"/>
      <c r="K5" s="87"/>
      <c r="L5" s="87"/>
    </row>
    <row r="9" spans="2:15">
      <c r="D9" s="89" t="s">
        <v>2877</v>
      </c>
    </row>
    <row r="10" spans="2:15">
      <c r="D10" s="91"/>
    </row>
    <row r="11" spans="2:15" ht="45">
      <c r="D11" s="55" t="s">
        <v>4623</v>
      </c>
    </row>
    <row r="12" spans="2:15">
      <c r="D12" s="45" t="s">
        <v>2879</v>
      </c>
      <c r="I12" s="13" t="str">
        <f>Show!$B$134&amp;"S.25.04.13.01 Rows {"&amp;COLUMN($C$1)&amp;"}"&amp;"@ForceFilingCode:true"</f>
        <v>!S.25.04.13.01 Rows {3}@ForceFilingCode:true</v>
      </c>
      <c r="J12" s="13" t="str">
        <f>Show!$B$134&amp;"S.25.04.13.01 Columns {"&amp;COLUMN($D$1)&amp;"}"</f>
        <v>!S.25.04.13.01 Columns {4}</v>
      </c>
    </row>
    <row r="13" spans="2:15">
      <c r="B13" s="43" t="s">
        <v>2880</v>
      </c>
      <c r="C13" s="44" t="s">
        <v>2878</v>
      </c>
      <c r="D13" s="46"/>
    </row>
    <row r="14" spans="2:15">
      <c r="B14" s="47" t="s">
        <v>711</v>
      </c>
      <c r="C14" s="41" t="s">
        <v>2883</v>
      </c>
      <c r="D14" s="60"/>
    </row>
    <row r="15" spans="2:15">
      <c r="B15" s="47" t="s">
        <v>4761</v>
      </c>
      <c r="C15" s="41" t="s">
        <v>2887</v>
      </c>
      <c r="D15" s="60"/>
    </row>
    <row r="17" spans="9:10">
      <c r="I17" s="13" t="str">
        <f>Show!$B$134&amp;Show!$B$134&amp;"S.25.04.13.01 Rows {"&amp;COLUMN($C$1)&amp;"}"</f>
        <v>!!S.25.04.13.01 Rows {3}</v>
      </c>
      <c r="J17" s="13" t="str">
        <f>Show!$B$134&amp;Show!$B$134&amp;"S.25.04.13.01 Columns {"&amp;COLUMN($D$1)&amp;"}"</f>
        <v>!!S.25.04.13.01 Columns {4}</v>
      </c>
    </row>
  </sheetData>
  <sheetProtection sheet="1" objects="1" scenarios="1"/>
  <mergeCells count="3">
    <mergeCell ref="B2:O2"/>
    <mergeCell ref="B5:L5"/>
    <mergeCell ref="D9:D10"/>
  </mergeCells>
  <pageMargins left="0.7" right="0.7" top="0.75" bottom="0.75" header="0.3" footer="0.3"/>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7EE18-7E01-4056-8124-8E0CF3381741}">
  <sheetPr codeName="Blad139"/>
  <dimension ref="B2:P145"/>
  <sheetViews>
    <sheetView showGridLines="0" workbookViewId="0"/>
  </sheetViews>
  <sheetFormatPr defaultRowHeight="15"/>
  <cols>
    <col min="2" max="2" width="85.140625" bestFit="1" customWidth="1"/>
    <col min="4" max="4" width="40.7109375" customWidth="1"/>
    <col min="5" max="8" width="15.7109375" customWidth="1"/>
  </cols>
  <sheetData>
    <row r="2" spans="2:16" ht="23.25">
      <c r="B2" s="86" t="s">
        <v>714</v>
      </c>
      <c r="C2" s="87"/>
      <c r="D2" s="87"/>
      <c r="E2" s="87"/>
      <c r="F2" s="87"/>
      <c r="G2" s="87"/>
      <c r="H2" s="87"/>
      <c r="I2" s="87"/>
      <c r="J2" s="87"/>
      <c r="K2" s="87"/>
      <c r="L2" s="87"/>
      <c r="M2" s="87"/>
      <c r="N2" s="87"/>
      <c r="O2" s="87"/>
    </row>
    <row r="5" spans="2:16" ht="18.75">
      <c r="B5" s="88" t="s">
        <v>4762</v>
      </c>
      <c r="C5" s="87"/>
      <c r="D5" s="87"/>
      <c r="E5" s="87"/>
      <c r="F5" s="87"/>
      <c r="G5" s="87"/>
      <c r="H5" s="87"/>
      <c r="I5" s="87"/>
      <c r="J5" s="87"/>
      <c r="K5" s="87"/>
      <c r="L5" s="87"/>
    </row>
    <row r="7" spans="2:16">
      <c r="B7" t="s">
        <v>3110</v>
      </c>
      <c r="O7" s="13" t="str">
        <f>Show!$B$135&amp;"S.26.01.01.01 Table label {"&amp;COLUMN($C$1)&amp;"}"</f>
        <v>!S.26.01.01.01 Table label {3}</v>
      </c>
      <c r="P7" s="13" t="str">
        <f>Show!$B$135&amp;"S.26.01.01.01 Table value {"&amp;COLUMN($D$1)&amp;"}"</f>
        <v>!S.26.01.01.01 Table value {4}</v>
      </c>
    </row>
    <row r="8" spans="2:16">
      <c r="B8" t="s">
        <v>3111</v>
      </c>
    </row>
    <row r="9" spans="2:16">
      <c r="B9" s="40" t="s">
        <v>4622</v>
      </c>
      <c r="C9" s="53" t="s">
        <v>3113</v>
      </c>
      <c r="D9" s="51"/>
    </row>
    <row r="10" spans="2:16">
      <c r="O10" s="13" t="str">
        <f>Show!$B$135&amp;Show!$B$135&amp;"S.26.01.01.01 Table label {"&amp;COLUMN($C$1)&amp;"}"</f>
        <v>!!S.26.01.01.01 Table label {3}</v>
      </c>
      <c r="P10" s="13" t="str">
        <f>Show!$B$135&amp;Show!$B$135&amp;"S.26.01.01.01 Table value {"&amp;COLUMN($D$1)&amp;"}"</f>
        <v>!!S.26.01.01.01 Table value {4}</v>
      </c>
    </row>
    <row r="12" spans="2:16">
      <c r="D12" s="92" t="s">
        <v>2877</v>
      </c>
      <c r="E12" s="93"/>
      <c r="F12" s="93"/>
      <c r="G12" s="93"/>
      <c r="H12" s="94"/>
    </row>
    <row r="13" spans="2:16">
      <c r="D13" s="95"/>
      <c r="E13" s="96"/>
      <c r="F13" s="96"/>
      <c r="G13" s="96"/>
      <c r="H13" s="97"/>
    </row>
    <row r="14" spans="2:16">
      <c r="D14" s="98" t="s">
        <v>4763</v>
      </c>
      <c r="E14" s="99"/>
      <c r="F14" s="98" t="s">
        <v>4764</v>
      </c>
      <c r="G14" s="100"/>
      <c r="H14" s="99"/>
    </row>
    <row r="15" spans="2:16">
      <c r="D15" s="89" t="s">
        <v>3252</v>
      </c>
      <c r="E15" s="89" t="s">
        <v>2389</v>
      </c>
      <c r="F15" s="89" t="s">
        <v>3252</v>
      </c>
      <c r="G15" s="89" t="s">
        <v>4765</v>
      </c>
      <c r="H15" s="89" t="s">
        <v>4766</v>
      </c>
    </row>
    <row r="16" spans="2:16">
      <c r="D16" s="91"/>
      <c r="E16" s="91"/>
      <c r="F16" s="91"/>
      <c r="G16" s="91"/>
      <c r="H16" s="91"/>
    </row>
    <row r="17" spans="2:16">
      <c r="D17" s="45" t="s">
        <v>3219</v>
      </c>
      <c r="E17" s="45" t="s">
        <v>3225</v>
      </c>
      <c r="F17" s="45" t="s">
        <v>3223</v>
      </c>
      <c r="G17" s="45" t="s">
        <v>3229</v>
      </c>
      <c r="H17" s="45" t="s">
        <v>3233</v>
      </c>
      <c r="O17" s="13" t="str">
        <f>Show!$B$135&amp;"S.26.01.01.01 Rows {"&amp;COLUMN($C$1)&amp;"}"&amp;"@ForceFilingCode:true"</f>
        <v>!S.26.01.01.01 Rows {3}@ForceFilingCode:true</v>
      </c>
      <c r="P17" s="13" t="str">
        <f>Show!$B$135&amp;"S.26.01.01.01 Columns {"&amp;COLUMN($D$1)&amp;"}"</f>
        <v>!S.26.01.01.01 Columns {4}</v>
      </c>
    </row>
    <row r="18" spans="2:16">
      <c r="B18" s="43" t="s">
        <v>2880</v>
      </c>
      <c r="C18" s="44" t="s">
        <v>2878</v>
      </c>
      <c r="D18" s="58"/>
      <c r="E18" s="67"/>
      <c r="F18" s="67"/>
      <c r="G18" s="67"/>
      <c r="H18" s="59"/>
    </row>
    <row r="19" spans="2:16">
      <c r="B19" s="47" t="s">
        <v>4767</v>
      </c>
      <c r="C19" s="44" t="s">
        <v>2899</v>
      </c>
      <c r="D19" s="56"/>
      <c r="E19" s="56"/>
      <c r="F19" s="56"/>
      <c r="G19" s="56"/>
      <c r="H19" s="46"/>
    </row>
    <row r="20" spans="2:16">
      <c r="B20" s="49" t="s">
        <v>4768</v>
      </c>
      <c r="C20" s="41" t="s">
        <v>2901</v>
      </c>
      <c r="D20" s="60"/>
      <c r="E20" s="60"/>
      <c r="F20" s="60"/>
      <c r="G20" s="60"/>
      <c r="H20" s="60"/>
    </row>
    <row r="21" spans="2:16">
      <c r="B21" s="49" t="s">
        <v>4769</v>
      </c>
      <c r="C21" s="41" t="s">
        <v>2903</v>
      </c>
      <c r="D21" s="63"/>
      <c r="E21" s="63"/>
      <c r="F21" s="63"/>
      <c r="G21" s="63"/>
      <c r="H21" s="63"/>
    </row>
    <row r="22" spans="2:16">
      <c r="B22" s="47" t="s">
        <v>4770</v>
      </c>
      <c r="C22" s="44" t="s">
        <v>2919</v>
      </c>
      <c r="D22" s="56"/>
      <c r="E22" s="56"/>
      <c r="F22" s="56"/>
      <c r="G22" s="56"/>
      <c r="H22" s="46"/>
    </row>
    <row r="23" spans="2:16">
      <c r="B23" s="49" t="s">
        <v>4771</v>
      </c>
      <c r="C23" s="41" t="s">
        <v>2921</v>
      </c>
      <c r="D23" s="60"/>
      <c r="E23" s="63"/>
      <c r="F23" s="60"/>
      <c r="G23" s="63"/>
      <c r="H23" s="63"/>
    </row>
    <row r="24" spans="2:16">
      <c r="B24" s="61" t="s">
        <v>4772</v>
      </c>
      <c r="C24" s="41" t="s">
        <v>4773</v>
      </c>
      <c r="D24" s="64"/>
      <c r="E24" s="48"/>
      <c r="F24" s="64"/>
      <c r="G24" s="58"/>
      <c r="H24" s="48"/>
    </row>
    <row r="25" spans="2:16">
      <c r="B25" s="61" t="s">
        <v>4774</v>
      </c>
      <c r="C25" s="41" t="s">
        <v>2925</v>
      </c>
      <c r="D25" s="64"/>
      <c r="E25" s="48"/>
      <c r="F25" s="64"/>
      <c r="G25" s="58"/>
      <c r="H25" s="48"/>
    </row>
    <row r="26" spans="2:16">
      <c r="B26" s="61" t="s">
        <v>4775</v>
      </c>
      <c r="C26" s="41" t="s">
        <v>4776</v>
      </c>
      <c r="D26" s="64"/>
      <c r="E26" s="48"/>
      <c r="F26" s="64"/>
      <c r="G26" s="58"/>
      <c r="H26" s="48"/>
    </row>
    <row r="27" spans="2:16">
      <c r="B27" s="61" t="s">
        <v>4777</v>
      </c>
      <c r="C27" s="41" t="s">
        <v>2927</v>
      </c>
      <c r="D27" s="64"/>
      <c r="E27" s="46"/>
      <c r="F27" s="64"/>
      <c r="G27" s="56"/>
      <c r="H27" s="46"/>
    </row>
    <row r="28" spans="2:16">
      <c r="B28" s="49" t="s">
        <v>4778</v>
      </c>
      <c r="C28" s="41" t="s">
        <v>2929</v>
      </c>
      <c r="D28" s="60"/>
      <c r="E28" s="63"/>
      <c r="F28" s="60"/>
      <c r="G28" s="63"/>
      <c r="H28" s="63"/>
    </row>
    <row r="29" spans="2:16">
      <c r="B29" s="61" t="s">
        <v>4779</v>
      </c>
      <c r="C29" s="41" t="s">
        <v>4780</v>
      </c>
      <c r="D29" s="64"/>
      <c r="E29" s="48"/>
      <c r="F29" s="64"/>
      <c r="G29" s="58"/>
      <c r="H29" s="48"/>
    </row>
    <row r="30" spans="2:16">
      <c r="B30" s="61" t="s">
        <v>4781</v>
      </c>
      <c r="C30" s="41" t="s">
        <v>2933</v>
      </c>
      <c r="D30" s="64"/>
      <c r="E30" s="48"/>
      <c r="F30" s="64"/>
      <c r="G30" s="58"/>
      <c r="H30" s="48"/>
    </row>
    <row r="31" spans="2:16">
      <c r="B31" s="61" t="s">
        <v>4782</v>
      </c>
      <c r="C31" s="41" t="s">
        <v>4783</v>
      </c>
      <c r="D31" s="64"/>
      <c r="E31" s="48"/>
      <c r="F31" s="64"/>
      <c r="G31" s="58"/>
      <c r="H31" s="48"/>
    </row>
    <row r="32" spans="2:16">
      <c r="B32" s="61" t="s">
        <v>4784</v>
      </c>
      <c r="C32" s="41" t="s">
        <v>2935</v>
      </c>
      <c r="D32" s="64"/>
      <c r="E32" s="46"/>
      <c r="F32" s="64"/>
      <c r="G32" s="56"/>
      <c r="H32" s="46"/>
    </row>
    <row r="33" spans="2:8">
      <c r="B33" s="49" t="s">
        <v>4785</v>
      </c>
      <c r="C33" s="41" t="s">
        <v>4786</v>
      </c>
      <c r="D33" s="60"/>
      <c r="E33" s="63"/>
      <c r="F33" s="60"/>
      <c r="G33" s="63"/>
      <c r="H33" s="63"/>
    </row>
    <row r="34" spans="2:8">
      <c r="B34" s="61" t="s">
        <v>4787</v>
      </c>
      <c r="C34" s="41" t="s">
        <v>4788</v>
      </c>
      <c r="D34" s="64"/>
      <c r="E34" s="48"/>
      <c r="F34" s="64"/>
      <c r="G34" s="58"/>
      <c r="H34" s="48"/>
    </row>
    <row r="35" spans="2:8">
      <c r="B35" s="61" t="s">
        <v>4789</v>
      </c>
      <c r="C35" s="41" t="s">
        <v>4790</v>
      </c>
      <c r="D35" s="64"/>
      <c r="E35" s="48"/>
      <c r="F35" s="64"/>
      <c r="G35" s="58"/>
      <c r="H35" s="48"/>
    </row>
    <row r="36" spans="2:8">
      <c r="B36" s="61" t="s">
        <v>4791</v>
      </c>
      <c r="C36" s="41" t="s">
        <v>4792</v>
      </c>
      <c r="D36" s="64"/>
      <c r="E36" s="46"/>
      <c r="F36" s="64"/>
      <c r="G36" s="56"/>
      <c r="H36" s="46"/>
    </row>
    <row r="37" spans="2:8">
      <c r="B37" s="49" t="s">
        <v>4793</v>
      </c>
      <c r="C37" s="41" t="s">
        <v>4794</v>
      </c>
      <c r="D37" s="60"/>
      <c r="E37" s="63"/>
      <c r="F37" s="60"/>
      <c r="G37" s="63"/>
      <c r="H37" s="63"/>
    </row>
    <row r="38" spans="2:8" ht="30">
      <c r="B38" s="61" t="s">
        <v>4795</v>
      </c>
      <c r="C38" s="41" t="s">
        <v>4796</v>
      </c>
      <c r="D38" s="64"/>
      <c r="E38" s="48"/>
      <c r="F38" s="64"/>
      <c r="G38" s="58"/>
      <c r="H38" s="48"/>
    </row>
    <row r="39" spans="2:8">
      <c r="B39" s="61" t="s">
        <v>4797</v>
      </c>
      <c r="C39" s="41" t="s">
        <v>4798</v>
      </c>
      <c r="D39" s="64"/>
      <c r="E39" s="48"/>
      <c r="F39" s="64"/>
      <c r="G39" s="58"/>
      <c r="H39" s="48"/>
    </row>
    <row r="40" spans="2:8">
      <c r="B40" s="61" t="s">
        <v>4799</v>
      </c>
      <c r="C40" s="41" t="s">
        <v>4800</v>
      </c>
      <c r="D40" s="64"/>
      <c r="E40" s="46"/>
      <c r="F40" s="64"/>
      <c r="G40" s="56"/>
      <c r="H40" s="46"/>
    </row>
    <row r="41" spans="2:8">
      <c r="B41" s="47" t="s">
        <v>4801</v>
      </c>
      <c r="C41" s="41" t="s">
        <v>2939</v>
      </c>
      <c r="D41" s="63"/>
      <c r="E41" s="63"/>
      <c r="F41" s="63"/>
      <c r="G41" s="63"/>
      <c r="H41" s="63"/>
    </row>
    <row r="42" spans="2:8">
      <c r="B42" s="47" t="s">
        <v>4802</v>
      </c>
      <c r="C42" s="44" t="s">
        <v>2959</v>
      </c>
      <c r="D42" s="56"/>
      <c r="E42" s="56"/>
      <c r="F42" s="56"/>
      <c r="G42" s="56"/>
      <c r="H42" s="46"/>
    </row>
    <row r="43" spans="2:8">
      <c r="B43" s="49" t="s">
        <v>4803</v>
      </c>
      <c r="C43" s="41" t="s">
        <v>2961</v>
      </c>
      <c r="D43" s="60"/>
      <c r="E43" s="60"/>
      <c r="F43" s="60"/>
      <c r="G43" s="60"/>
      <c r="H43" s="60"/>
    </row>
    <row r="44" spans="2:8">
      <c r="B44" s="61" t="s">
        <v>4804</v>
      </c>
      <c r="C44" s="41" t="s">
        <v>4805</v>
      </c>
      <c r="D44" s="60"/>
      <c r="E44" s="60"/>
      <c r="F44" s="60"/>
      <c r="G44" s="60"/>
      <c r="H44" s="60"/>
    </row>
    <row r="45" spans="2:8" ht="30">
      <c r="B45" s="61" t="s">
        <v>4806</v>
      </c>
      <c r="C45" s="41" t="s">
        <v>4807</v>
      </c>
      <c r="D45" s="60"/>
      <c r="E45" s="60"/>
      <c r="F45" s="60"/>
      <c r="G45" s="60"/>
      <c r="H45" s="60"/>
    </row>
    <row r="46" spans="2:8" ht="30">
      <c r="B46" s="61" t="s">
        <v>4808</v>
      </c>
      <c r="C46" s="41" t="s">
        <v>4809</v>
      </c>
      <c r="D46" s="63"/>
      <c r="E46" s="63"/>
      <c r="F46" s="63"/>
      <c r="G46" s="63"/>
      <c r="H46" s="63"/>
    </row>
    <row r="47" spans="2:8">
      <c r="B47" s="49" t="s">
        <v>4810</v>
      </c>
      <c r="C47" s="44" t="s">
        <v>2963</v>
      </c>
      <c r="D47" s="56"/>
      <c r="E47" s="56"/>
      <c r="F47" s="56"/>
      <c r="G47" s="56"/>
      <c r="H47" s="46"/>
    </row>
    <row r="48" spans="2:8">
      <c r="B48" s="61" t="s">
        <v>4811</v>
      </c>
      <c r="C48" s="41" t="s">
        <v>2965</v>
      </c>
      <c r="D48" s="60"/>
      <c r="E48" s="60"/>
      <c r="F48" s="60"/>
      <c r="G48" s="60"/>
      <c r="H48" s="60"/>
    </row>
    <row r="49" spans="2:16">
      <c r="B49" s="61" t="s">
        <v>4812</v>
      </c>
      <c r="C49" s="41" t="s">
        <v>2967</v>
      </c>
      <c r="D49" s="60"/>
      <c r="E49" s="60"/>
      <c r="F49" s="60"/>
      <c r="G49" s="60"/>
      <c r="H49" s="60"/>
    </row>
    <row r="50" spans="2:16">
      <c r="B50" s="49" t="s">
        <v>4813</v>
      </c>
      <c r="C50" s="41" t="s">
        <v>2969</v>
      </c>
      <c r="D50" s="60"/>
      <c r="E50" s="60"/>
      <c r="F50" s="60"/>
      <c r="G50" s="60"/>
      <c r="H50" s="60"/>
    </row>
    <row r="51" spans="2:16">
      <c r="B51" s="61" t="s">
        <v>4814</v>
      </c>
      <c r="C51" s="41" t="s">
        <v>4815</v>
      </c>
      <c r="D51" s="60"/>
      <c r="E51" s="60"/>
      <c r="F51" s="60"/>
      <c r="G51" s="60"/>
      <c r="H51" s="60"/>
    </row>
    <row r="52" spans="2:16">
      <c r="B52" s="61" t="s">
        <v>4816</v>
      </c>
      <c r="C52" s="41" t="s">
        <v>4817</v>
      </c>
      <c r="D52" s="60"/>
      <c r="E52" s="60"/>
      <c r="F52" s="60"/>
      <c r="G52" s="60"/>
      <c r="H52" s="60"/>
    </row>
    <row r="53" spans="2:16">
      <c r="B53" s="61" t="s">
        <v>4818</v>
      </c>
      <c r="C53" s="41" t="s">
        <v>2975</v>
      </c>
      <c r="D53" s="60"/>
      <c r="E53" s="60"/>
      <c r="F53" s="60"/>
      <c r="G53" s="60"/>
      <c r="H53" s="60"/>
    </row>
    <row r="54" spans="2:16">
      <c r="B54" s="61" t="s">
        <v>4819</v>
      </c>
      <c r="C54" s="41" t="s">
        <v>4820</v>
      </c>
      <c r="D54" s="60"/>
      <c r="E54" s="60"/>
      <c r="F54" s="60"/>
      <c r="G54" s="60"/>
      <c r="H54" s="60"/>
    </row>
    <row r="55" spans="2:16">
      <c r="B55" s="61" t="s">
        <v>4821</v>
      </c>
      <c r="C55" s="41" t="s">
        <v>4822</v>
      </c>
      <c r="D55" s="60"/>
      <c r="E55" s="60"/>
      <c r="F55" s="60"/>
      <c r="G55" s="60"/>
      <c r="H55" s="60"/>
    </row>
    <row r="56" spans="2:16">
      <c r="B56" s="61" t="s">
        <v>4823</v>
      </c>
      <c r="C56" s="41" t="s">
        <v>4824</v>
      </c>
      <c r="D56" s="60"/>
      <c r="E56" s="63"/>
      <c r="F56" s="63"/>
      <c r="G56" s="63"/>
      <c r="H56" s="63"/>
    </row>
    <row r="57" spans="2:16">
      <c r="B57" s="47" t="s">
        <v>4825</v>
      </c>
      <c r="C57" s="41" t="s">
        <v>2977</v>
      </c>
      <c r="D57" s="65"/>
      <c r="E57" s="58"/>
      <c r="F57" s="58"/>
      <c r="G57" s="58"/>
      <c r="H57" s="48"/>
    </row>
    <row r="58" spans="2:16">
      <c r="B58" s="47" t="s">
        <v>4826</v>
      </c>
      <c r="C58" s="44" t="s">
        <v>2997</v>
      </c>
      <c r="D58" s="56"/>
      <c r="E58" s="56"/>
      <c r="F58" s="56"/>
      <c r="G58" s="56"/>
      <c r="H58" s="46"/>
    </row>
    <row r="59" spans="2:16">
      <c r="B59" s="49" t="s">
        <v>4827</v>
      </c>
      <c r="C59" s="41" t="s">
        <v>2999</v>
      </c>
      <c r="D59" s="60"/>
      <c r="E59" s="60"/>
      <c r="F59" s="60"/>
      <c r="G59" s="60"/>
      <c r="H59" s="60"/>
    </row>
    <row r="60" spans="2:16">
      <c r="B60" s="49" t="s">
        <v>4828</v>
      </c>
      <c r="C60" s="41" t="s">
        <v>3001</v>
      </c>
      <c r="D60" s="63"/>
      <c r="E60" s="63"/>
      <c r="F60" s="63"/>
      <c r="G60" s="63"/>
      <c r="H60" s="63"/>
    </row>
    <row r="61" spans="2:16">
      <c r="B61" s="47" t="s">
        <v>4829</v>
      </c>
      <c r="C61" s="44" t="s">
        <v>3064</v>
      </c>
      <c r="D61" s="58"/>
      <c r="E61" s="58"/>
      <c r="F61" s="58"/>
      <c r="G61" s="58"/>
      <c r="H61" s="48"/>
    </row>
    <row r="62" spans="2:16">
      <c r="B62" s="47" t="s">
        <v>4830</v>
      </c>
      <c r="C62" s="44" t="s">
        <v>3120</v>
      </c>
      <c r="D62" s="56"/>
      <c r="E62" s="56"/>
      <c r="F62" s="56"/>
      <c r="G62" s="56"/>
      <c r="H62" s="46"/>
    </row>
    <row r="64" spans="2:16">
      <c r="O64" s="13" t="str">
        <f>Show!$B$135&amp;Show!$B$135&amp;"S.26.01.01.01 Rows {"&amp;COLUMN($C$1)&amp;"}"</f>
        <v>!!S.26.01.01.01 Rows {3}</v>
      </c>
      <c r="P64" s="13" t="str">
        <f>Show!$B$135&amp;Show!$B$135&amp;"S.26.01.01.01 Columns {"&amp;COLUMN($H$1)&amp;"}"</f>
        <v>!!S.26.01.01.01 Columns {8}</v>
      </c>
    </row>
    <row r="66" spans="2:16" ht="18.75">
      <c r="B66" s="88" t="s">
        <v>4831</v>
      </c>
      <c r="C66" s="87"/>
      <c r="D66" s="87"/>
      <c r="E66" s="87"/>
      <c r="F66" s="87"/>
      <c r="G66" s="87"/>
      <c r="H66" s="87"/>
      <c r="I66" s="87"/>
      <c r="J66" s="87"/>
      <c r="K66" s="87"/>
      <c r="L66" s="87"/>
    </row>
    <row r="68" spans="2:16">
      <c r="B68" t="s">
        <v>3110</v>
      </c>
      <c r="O68" s="13" t="str">
        <f>Show!$B$135&amp;"S.26.01.01.02 Table label {"&amp;COLUMN($C$1)&amp;"}"</f>
        <v>!S.26.01.01.02 Table label {3}</v>
      </c>
      <c r="P68" s="13" t="str">
        <f>Show!$B$135&amp;"S.26.01.01.02 Table value {"&amp;COLUMN($D$1)&amp;"}"</f>
        <v>!S.26.01.01.02 Table value {4}</v>
      </c>
    </row>
    <row r="69" spans="2:16">
      <c r="B69" t="s">
        <v>3111</v>
      </c>
    </row>
    <row r="70" spans="2:16">
      <c r="B70" s="40" t="s">
        <v>4622</v>
      </c>
      <c r="C70" s="53" t="s">
        <v>3113</v>
      </c>
      <c r="D70" s="51"/>
    </row>
    <row r="71" spans="2:16">
      <c r="O71" s="13" t="str">
        <f>Show!$B$135&amp;Show!$B$135&amp;"S.26.01.01.02 Table label {"&amp;COLUMN($C$1)&amp;"}"</f>
        <v>!!S.26.01.01.02 Table label {3}</v>
      </c>
      <c r="P71" s="13" t="str">
        <f>Show!$B$135&amp;Show!$B$135&amp;"S.26.01.01.02 Table value {"&amp;COLUMN($D$1)&amp;"}"</f>
        <v>!!S.26.01.01.02 Table value {4}</v>
      </c>
    </row>
    <row r="73" spans="2:16">
      <c r="D73" s="92" t="s">
        <v>2877</v>
      </c>
      <c r="E73" s="94"/>
    </row>
    <row r="74" spans="2:16">
      <c r="D74" s="95"/>
      <c r="E74" s="97"/>
    </row>
    <row r="75" spans="2:16">
      <c r="D75" s="98" t="s">
        <v>4764</v>
      </c>
      <c r="E75" s="99"/>
    </row>
    <row r="76" spans="2:16">
      <c r="D76" s="89" t="s">
        <v>4623</v>
      </c>
      <c r="E76" s="89" t="s">
        <v>4624</v>
      </c>
    </row>
    <row r="77" spans="2:16">
      <c r="D77" s="91"/>
      <c r="E77" s="91"/>
    </row>
    <row r="78" spans="2:16">
      <c r="D78" s="45" t="s">
        <v>3231</v>
      </c>
      <c r="E78" s="45" t="s">
        <v>3234</v>
      </c>
      <c r="O78" s="13" t="str">
        <f>Show!$B$135&amp;"S.26.01.01.02 Rows {"&amp;COLUMN($C$1)&amp;"}"&amp;"@ForceFilingCode:true"</f>
        <v>!S.26.01.01.02 Rows {3}@ForceFilingCode:true</v>
      </c>
      <c r="P78" s="13" t="str">
        <f>Show!$B$135&amp;"S.26.01.01.02 Columns {"&amp;COLUMN($D$1)&amp;"}"</f>
        <v>!S.26.01.01.02 Columns {4}</v>
      </c>
    </row>
    <row r="79" spans="2:16">
      <c r="B79" s="43" t="s">
        <v>2880</v>
      </c>
      <c r="C79" s="44" t="s">
        <v>2878</v>
      </c>
      <c r="D79" s="56"/>
      <c r="E79" s="57"/>
    </row>
    <row r="80" spans="2:16">
      <c r="B80" s="47" t="s">
        <v>4767</v>
      </c>
      <c r="C80" s="41" t="s">
        <v>2899</v>
      </c>
      <c r="D80" s="60"/>
      <c r="E80" s="60"/>
    </row>
    <row r="81" spans="2:5">
      <c r="B81" s="49" t="s">
        <v>4768</v>
      </c>
      <c r="C81" s="41" t="s">
        <v>2901</v>
      </c>
      <c r="D81" s="60"/>
      <c r="E81" s="60"/>
    </row>
    <row r="82" spans="2:5">
      <c r="B82" s="49" t="s">
        <v>4769</v>
      </c>
      <c r="C82" s="41" t="s">
        <v>2903</v>
      </c>
      <c r="D82" s="60"/>
      <c r="E82" s="60"/>
    </row>
    <row r="83" spans="2:5">
      <c r="B83" s="47" t="s">
        <v>4770</v>
      </c>
      <c r="C83" s="41" t="s">
        <v>2919</v>
      </c>
      <c r="D83" s="60"/>
      <c r="E83" s="60"/>
    </row>
    <row r="84" spans="2:5">
      <c r="B84" s="49" t="s">
        <v>4771</v>
      </c>
      <c r="C84" s="41" t="s">
        <v>2921</v>
      </c>
      <c r="D84" s="63"/>
      <c r="E84" s="63"/>
    </row>
    <row r="85" spans="2:5">
      <c r="B85" s="61" t="s">
        <v>4772</v>
      </c>
      <c r="C85" s="44" t="s">
        <v>4773</v>
      </c>
      <c r="D85" s="58"/>
      <c r="E85" s="48"/>
    </row>
    <row r="86" spans="2:5">
      <c r="B86" s="61" t="s">
        <v>4774</v>
      </c>
      <c r="C86" s="44" t="s">
        <v>2925</v>
      </c>
      <c r="D86" s="58"/>
      <c r="E86" s="48"/>
    </row>
    <row r="87" spans="2:5">
      <c r="B87" s="61" t="s">
        <v>4775</v>
      </c>
      <c r="C87" s="44" t="s">
        <v>4776</v>
      </c>
      <c r="D87" s="58"/>
      <c r="E87" s="48"/>
    </row>
    <row r="88" spans="2:5">
      <c r="B88" s="61" t="s">
        <v>4777</v>
      </c>
      <c r="C88" s="44" t="s">
        <v>2927</v>
      </c>
      <c r="D88" s="56"/>
      <c r="E88" s="46"/>
    </row>
    <row r="89" spans="2:5">
      <c r="B89" s="49" t="s">
        <v>4778</v>
      </c>
      <c r="C89" s="41" t="s">
        <v>2929</v>
      </c>
      <c r="D89" s="63"/>
      <c r="E89" s="63"/>
    </row>
    <row r="90" spans="2:5">
      <c r="B90" s="61" t="s">
        <v>4779</v>
      </c>
      <c r="C90" s="44" t="s">
        <v>4780</v>
      </c>
      <c r="D90" s="58"/>
      <c r="E90" s="48"/>
    </row>
    <row r="91" spans="2:5">
      <c r="B91" s="61" t="s">
        <v>4781</v>
      </c>
      <c r="C91" s="44" t="s">
        <v>2933</v>
      </c>
      <c r="D91" s="58"/>
      <c r="E91" s="48"/>
    </row>
    <row r="92" spans="2:5">
      <c r="B92" s="61" t="s">
        <v>4782</v>
      </c>
      <c r="C92" s="44" t="s">
        <v>4783</v>
      </c>
      <c r="D92" s="58"/>
      <c r="E92" s="48"/>
    </row>
    <row r="93" spans="2:5">
      <c r="B93" s="61" t="s">
        <v>4784</v>
      </c>
      <c r="C93" s="44" t="s">
        <v>2935</v>
      </c>
      <c r="D93" s="56"/>
      <c r="E93" s="46"/>
    </row>
    <row r="94" spans="2:5">
      <c r="B94" s="49" t="s">
        <v>4785</v>
      </c>
      <c r="C94" s="41" t="s">
        <v>4786</v>
      </c>
      <c r="D94" s="63"/>
      <c r="E94" s="63"/>
    </row>
    <row r="95" spans="2:5">
      <c r="B95" s="61" t="s">
        <v>4787</v>
      </c>
      <c r="C95" s="44" t="s">
        <v>4788</v>
      </c>
      <c r="D95" s="58"/>
      <c r="E95" s="48"/>
    </row>
    <row r="96" spans="2:5">
      <c r="B96" s="61" t="s">
        <v>4789</v>
      </c>
      <c r="C96" s="44" t="s">
        <v>4790</v>
      </c>
      <c r="D96" s="58"/>
      <c r="E96" s="48"/>
    </row>
    <row r="97" spans="2:5">
      <c r="B97" s="61" t="s">
        <v>4791</v>
      </c>
      <c r="C97" s="44" t="s">
        <v>4792</v>
      </c>
      <c r="D97" s="56"/>
      <c r="E97" s="46"/>
    </row>
    <row r="98" spans="2:5">
      <c r="B98" s="49" t="s">
        <v>4793</v>
      </c>
      <c r="C98" s="41" t="s">
        <v>4794</v>
      </c>
      <c r="D98" s="63"/>
      <c r="E98" s="63"/>
    </row>
    <row r="99" spans="2:5" ht="30">
      <c r="B99" s="61" t="s">
        <v>4795</v>
      </c>
      <c r="C99" s="44" t="s">
        <v>4796</v>
      </c>
      <c r="D99" s="58"/>
      <c r="E99" s="48"/>
    </row>
    <row r="100" spans="2:5">
      <c r="B100" s="61" t="s">
        <v>4797</v>
      </c>
      <c r="C100" s="44" t="s">
        <v>4798</v>
      </c>
      <c r="D100" s="58"/>
      <c r="E100" s="48"/>
    </row>
    <row r="101" spans="2:5">
      <c r="B101" s="61" t="s">
        <v>4799</v>
      </c>
      <c r="C101" s="44" t="s">
        <v>4800</v>
      </c>
      <c r="D101" s="56"/>
      <c r="E101" s="46"/>
    </row>
    <row r="102" spans="2:5">
      <c r="B102" s="47" t="s">
        <v>4801</v>
      </c>
      <c r="C102" s="41" t="s">
        <v>2939</v>
      </c>
      <c r="D102" s="60"/>
      <c r="E102" s="60"/>
    </row>
    <row r="103" spans="2:5">
      <c r="B103" s="47" t="s">
        <v>4802</v>
      </c>
      <c r="C103" s="41" t="s">
        <v>2959</v>
      </c>
      <c r="D103" s="60"/>
      <c r="E103" s="60"/>
    </row>
    <row r="104" spans="2:5">
      <c r="B104" s="49" t="s">
        <v>4803</v>
      </c>
      <c r="C104" s="41" t="s">
        <v>2961</v>
      </c>
      <c r="D104" s="60"/>
      <c r="E104" s="60"/>
    </row>
    <row r="105" spans="2:5">
      <c r="B105" s="61" t="s">
        <v>4804</v>
      </c>
      <c r="C105" s="41" t="s">
        <v>4805</v>
      </c>
      <c r="D105" s="60"/>
      <c r="E105" s="60"/>
    </row>
    <row r="106" spans="2:5" ht="30">
      <c r="B106" s="61" t="s">
        <v>4806</v>
      </c>
      <c r="C106" s="41" t="s">
        <v>4807</v>
      </c>
      <c r="D106" s="60"/>
      <c r="E106" s="60"/>
    </row>
    <row r="107" spans="2:5" ht="30">
      <c r="B107" s="61" t="s">
        <v>4808</v>
      </c>
      <c r="C107" s="41" t="s">
        <v>4809</v>
      </c>
      <c r="D107" s="60"/>
      <c r="E107" s="60"/>
    </row>
    <row r="108" spans="2:5">
      <c r="B108" s="49" t="s">
        <v>4810</v>
      </c>
      <c r="C108" s="41" t="s">
        <v>2963</v>
      </c>
      <c r="D108" s="60"/>
      <c r="E108" s="60"/>
    </row>
    <row r="109" spans="2:5">
      <c r="B109" s="61" t="s">
        <v>4811</v>
      </c>
      <c r="C109" s="41" t="s">
        <v>2965</v>
      </c>
      <c r="D109" s="60"/>
      <c r="E109" s="60"/>
    </row>
    <row r="110" spans="2:5">
      <c r="B110" s="61" t="s">
        <v>4812</v>
      </c>
      <c r="C110" s="41" t="s">
        <v>2967</v>
      </c>
      <c r="D110" s="60"/>
      <c r="E110" s="60"/>
    </row>
    <row r="111" spans="2:5">
      <c r="B111" s="49" t="s">
        <v>4813</v>
      </c>
      <c r="C111" s="41" t="s">
        <v>2969</v>
      </c>
      <c r="D111" s="60"/>
      <c r="E111" s="60"/>
    </row>
    <row r="112" spans="2:5">
      <c r="B112" s="61" t="s">
        <v>4814</v>
      </c>
      <c r="C112" s="41" t="s">
        <v>4815</v>
      </c>
      <c r="D112" s="60"/>
      <c r="E112" s="60"/>
    </row>
    <row r="113" spans="2:16">
      <c r="B113" s="61" t="s">
        <v>4816</v>
      </c>
      <c r="C113" s="41" t="s">
        <v>4817</v>
      </c>
      <c r="D113" s="60"/>
      <c r="E113" s="60"/>
    </row>
    <row r="114" spans="2:16">
      <c r="B114" s="61" t="s">
        <v>4818</v>
      </c>
      <c r="C114" s="41" t="s">
        <v>2975</v>
      </c>
      <c r="D114" s="60"/>
      <c r="E114" s="60"/>
    </row>
    <row r="115" spans="2:16">
      <c r="B115" s="61" t="s">
        <v>4819</v>
      </c>
      <c r="C115" s="41" t="s">
        <v>4820</v>
      </c>
      <c r="D115" s="60"/>
      <c r="E115" s="60"/>
    </row>
    <row r="116" spans="2:16">
      <c r="B116" s="61" t="s">
        <v>4821</v>
      </c>
      <c r="C116" s="41" t="s">
        <v>4822</v>
      </c>
      <c r="D116" s="60"/>
      <c r="E116" s="60"/>
    </row>
    <row r="117" spans="2:16">
      <c r="B117" s="61" t="s">
        <v>4823</v>
      </c>
      <c r="C117" s="41" t="s">
        <v>4824</v>
      </c>
      <c r="D117" s="60"/>
      <c r="E117" s="60"/>
    </row>
    <row r="118" spans="2:16">
      <c r="B118" s="47" t="s">
        <v>4825</v>
      </c>
      <c r="C118" s="41" t="s">
        <v>2977</v>
      </c>
      <c r="D118" s="60"/>
      <c r="E118" s="60"/>
    </row>
    <row r="119" spans="2:16">
      <c r="B119" s="47" t="s">
        <v>4826</v>
      </c>
      <c r="C119" s="41" t="s">
        <v>2997</v>
      </c>
      <c r="D119" s="60"/>
      <c r="E119" s="60"/>
    </row>
    <row r="120" spans="2:16">
      <c r="B120" s="49" t="s">
        <v>4827</v>
      </c>
      <c r="C120" s="41" t="s">
        <v>2999</v>
      </c>
      <c r="D120" s="60"/>
      <c r="E120" s="60"/>
    </row>
    <row r="121" spans="2:16">
      <c r="B121" s="49" t="s">
        <v>4828</v>
      </c>
      <c r="C121" s="41" t="s">
        <v>3001</v>
      </c>
      <c r="D121" s="60"/>
      <c r="E121" s="60"/>
    </row>
    <row r="122" spans="2:16">
      <c r="B122" s="47" t="s">
        <v>4829</v>
      </c>
      <c r="C122" s="41" t="s">
        <v>3064</v>
      </c>
      <c r="D122" s="60"/>
      <c r="E122" s="60"/>
    </row>
    <row r="123" spans="2:16">
      <c r="B123" s="47" t="s">
        <v>4830</v>
      </c>
      <c r="C123" s="41" t="s">
        <v>3120</v>
      </c>
      <c r="D123" s="60"/>
      <c r="E123" s="60"/>
    </row>
    <row r="125" spans="2:16">
      <c r="O125" s="13" t="str">
        <f>Show!$B$135&amp;Show!$B$135&amp;"S.26.01.01.02 Rows {"&amp;COLUMN($C$1)&amp;"}"</f>
        <v>!!S.26.01.01.02 Rows {3}</v>
      </c>
      <c r="P125" s="13" t="str">
        <f>Show!$B$135&amp;Show!$B$135&amp;"S.26.01.01.02 Columns {"&amp;COLUMN($E$1)&amp;"}"</f>
        <v>!!S.26.01.01.02 Columns {5}</v>
      </c>
    </row>
    <row r="127" spans="2:16" ht="18.75">
      <c r="B127" s="88" t="s">
        <v>4832</v>
      </c>
      <c r="C127" s="87"/>
      <c r="D127" s="87"/>
      <c r="E127" s="87"/>
      <c r="F127" s="87"/>
      <c r="G127" s="87"/>
      <c r="H127" s="87"/>
      <c r="I127" s="87"/>
      <c r="J127" s="87"/>
      <c r="K127" s="87"/>
      <c r="L127" s="87"/>
    </row>
    <row r="129" spans="2:16">
      <c r="B129" t="s">
        <v>3110</v>
      </c>
      <c r="O129" s="13" t="str">
        <f>Show!$B$135&amp;"S.26.01.01.03 Table label {"&amp;COLUMN($C$1)&amp;"}"</f>
        <v>!S.26.01.01.03 Table label {3}</v>
      </c>
      <c r="P129" s="13" t="str">
        <f>Show!$B$135&amp;"S.26.01.01.03 Table value {"&amp;COLUMN($D$1)&amp;"}"</f>
        <v>!S.26.01.01.03 Table value {4}</v>
      </c>
    </row>
    <row r="130" spans="2:16">
      <c r="B130" t="s">
        <v>3111</v>
      </c>
    </row>
    <row r="131" spans="2:16">
      <c r="B131" s="40" t="s">
        <v>4622</v>
      </c>
      <c r="C131" s="53" t="s">
        <v>3113</v>
      </c>
      <c r="D131" s="51"/>
    </row>
    <row r="132" spans="2:16">
      <c r="O132" s="13" t="str">
        <f>Show!$B$135&amp;Show!$B$135&amp;"S.26.01.01.03 Table label {"&amp;COLUMN($C$1)&amp;"}"</f>
        <v>!!S.26.01.01.03 Table label {3}</v>
      </c>
      <c r="P132" s="13" t="str">
        <f>Show!$B$135&amp;Show!$B$135&amp;"S.26.01.01.03 Table value {"&amp;COLUMN($D$1)&amp;"}"</f>
        <v>!!S.26.01.01.03 Table value {4}</v>
      </c>
    </row>
    <row r="134" spans="2:16">
      <c r="D134" s="89" t="s">
        <v>2877</v>
      </c>
    </row>
    <row r="135" spans="2:16">
      <c r="D135" s="91"/>
    </row>
    <row r="136" spans="2:16">
      <c r="D136" s="55" t="s">
        <v>2574</v>
      </c>
    </row>
    <row r="137" spans="2:16">
      <c r="D137" s="45" t="s">
        <v>2879</v>
      </c>
      <c r="O137" s="13" t="str">
        <f>Show!$B$135&amp;"S.26.01.01.03 Rows {"&amp;COLUMN($C$1)&amp;"}"&amp;"@ForceFilingCode:true"</f>
        <v>!S.26.01.01.03 Rows {3}@ForceFilingCode:true</v>
      </c>
      <c r="P137" s="13" t="str">
        <f>Show!$B$135&amp;"S.26.01.01.03 Columns {"&amp;COLUMN($D$1)&amp;"}"</f>
        <v>!S.26.01.01.03 Columns {4}</v>
      </c>
    </row>
    <row r="138" spans="2:16">
      <c r="B138" s="43" t="s">
        <v>2880</v>
      </c>
      <c r="C138" s="44" t="s">
        <v>2878</v>
      </c>
      <c r="D138" s="46"/>
    </row>
    <row r="139" spans="2:16">
      <c r="B139" s="47" t="s">
        <v>4833</v>
      </c>
      <c r="C139" s="41" t="s">
        <v>4834</v>
      </c>
      <c r="D139" s="51"/>
    </row>
    <row r="140" spans="2:16">
      <c r="B140" s="47" t="s">
        <v>4835</v>
      </c>
      <c r="C140" s="41" t="s">
        <v>4836</v>
      </c>
      <c r="D140" s="51"/>
    </row>
    <row r="141" spans="2:16">
      <c r="B141" s="47" t="s">
        <v>4837</v>
      </c>
      <c r="C141" s="41" t="s">
        <v>2885</v>
      </c>
      <c r="D141" s="51"/>
    </row>
    <row r="142" spans="2:16">
      <c r="B142" s="47" t="s">
        <v>4838</v>
      </c>
      <c r="C142" s="41" t="s">
        <v>2887</v>
      </c>
      <c r="D142" s="51"/>
    </row>
    <row r="143" spans="2:16">
      <c r="B143" s="47" t="s">
        <v>4839</v>
      </c>
      <c r="C143" s="41" t="s">
        <v>2889</v>
      </c>
      <c r="D143" s="51"/>
    </row>
    <row r="145" spans="15:16">
      <c r="O145" s="13" t="str">
        <f>Show!$B$135&amp;Show!$B$135&amp;"S.26.01.01.03 Rows {"&amp;COLUMN($C$1)&amp;"}"</f>
        <v>!!S.26.01.01.03 Rows {3}</v>
      </c>
      <c r="P145" s="13" t="str">
        <f>Show!$B$135&amp;Show!$B$135&amp;"S.26.01.01.03 Columns {"&amp;COLUMN($D$1)&amp;"}"</f>
        <v>!!S.26.01.01.03 Columns {4}</v>
      </c>
    </row>
  </sheetData>
  <sheetProtection sheet="1" objects="1" scenarios="1"/>
  <mergeCells count="17">
    <mergeCell ref="D15:D16"/>
    <mergeCell ref="E15:E16"/>
    <mergeCell ref="F15:F16"/>
    <mergeCell ref="G15:G16"/>
    <mergeCell ref="H15:H16"/>
    <mergeCell ref="B2:O2"/>
    <mergeCell ref="B5:L5"/>
    <mergeCell ref="D12:H13"/>
    <mergeCell ref="D14:E14"/>
    <mergeCell ref="F14:H14"/>
    <mergeCell ref="D134:D135"/>
    <mergeCell ref="B66:L66"/>
    <mergeCell ref="D73:E74"/>
    <mergeCell ref="D75:E75"/>
    <mergeCell ref="D76:D77"/>
    <mergeCell ref="E76:E77"/>
    <mergeCell ref="B127:L127"/>
  </mergeCells>
  <dataValidations count="3">
    <dataValidation type="list" errorStyle="warning" allowBlank="1" showInputMessage="1" showErrorMessage="1" sqref="D9 D70 D131" xr:uid="{9F04F1D5-AE18-47F8-ADE4-9EFE25BDB611}">
      <formula1>hier_AO_1</formula1>
    </dataValidation>
    <dataValidation type="list" errorStyle="warning" allowBlank="1" showInputMessage="1" showErrorMessage="1" sqref="D140" xr:uid="{A282F277-CB5A-4DC6-B510-CB0D9C4399D1}">
      <formula1>hier_AP_25</formula1>
    </dataValidation>
    <dataValidation type="list" errorStyle="warning" allowBlank="1" showInputMessage="1" showErrorMessage="1" sqref="D141 D142 D143" xr:uid="{E45DDDEA-67E6-43A3-85F5-8B2774B4699B}">
      <formula1>hier_AP_17</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B83A2-9379-4C38-8545-91EB206F7554}">
  <sheetPr codeName="Blad14"/>
  <dimension ref="B2:O20"/>
  <sheetViews>
    <sheetView showGridLines="0" workbookViewId="0"/>
  </sheetViews>
  <sheetFormatPr defaultRowHeight="15"/>
  <cols>
    <col min="2" max="2" width="44.28515625" bestFit="1" customWidth="1"/>
    <col min="4" max="4" width="40.7109375" customWidth="1"/>
  </cols>
  <sheetData>
    <row r="2" spans="2:15" ht="23.25">
      <c r="B2" s="86" t="s">
        <v>512</v>
      </c>
      <c r="C2" s="87"/>
      <c r="D2" s="87"/>
      <c r="E2" s="87"/>
      <c r="F2" s="87"/>
      <c r="G2" s="87"/>
      <c r="H2" s="87"/>
      <c r="I2" s="87"/>
      <c r="J2" s="87"/>
      <c r="K2" s="87"/>
      <c r="L2" s="87"/>
      <c r="M2" s="87"/>
      <c r="N2" s="87"/>
      <c r="O2" s="87"/>
    </row>
    <row r="5" spans="2:15" ht="18.75">
      <c r="B5" s="88" t="s">
        <v>3101</v>
      </c>
      <c r="C5" s="87"/>
      <c r="D5" s="87"/>
      <c r="E5" s="87"/>
      <c r="F5" s="87"/>
      <c r="G5" s="87"/>
      <c r="H5" s="87"/>
      <c r="I5" s="87"/>
      <c r="J5" s="87"/>
      <c r="K5" s="87"/>
      <c r="L5" s="87"/>
    </row>
    <row r="9" spans="2:15">
      <c r="D9" s="89" t="s">
        <v>2877</v>
      </c>
    </row>
    <row r="10" spans="2:15">
      <c r="D10" s="90"/>
    </row>
    <row r="11" spans="2:15">
      <c r="D11" s="90"/>
    </row>
    <row r="12" spans="2:15">
      <c r="D12" s="91"/>
    </row>
    <row r="13" spans="2:15">
      <c r="D13" s="45" t="s">
        <v>2879</v>
      </c>
      <c r="I13" s="13" t="str">
        <f>IF(COUNTIF(D:D,"Reported")&gt;0,Show!$B$10,"!")&amp;"S.01.01.12.01 Rows {"&amp;COLUMN($C$1)&amp;"}"&amp;"@ForceFilingCode:true"</f>
        <v>!S.01.01.12.01 Rows {3}@ForceFilingCode:true</v>
      </c>
      <c r="J13" s="13" t="str">
        <f>IF(COUNTIF(D:D,"Reported")&gt;0,Show!$B$10,"!")&amp;"S.01.01.12.01 Columns {"&amp;COLUMN($D$1)&amp;"}"</f>
        <v>!S.01.01.12.01 Columns {4}</v>
      </c>
    </row>
    <row r="14" spans="2:15">
      <c r="B14" s="43" t="s">
        <v>2880</v>
      </c>
      <c r="C14" s="44" t="s">
        <v>2878</v>
      </c>
      <c r="D14" s="48"/>
    </row>
    <row r="15" spans="2:15">
      <c r="B15" s="47" t="s">
        <v>2881</v>
      </c>
      <c r="C15" s="44" t="s">
        <v>2878</v>
      </c>
      <c r="D15" s="46"/>
    </row>
    <row r="16" spans="2:15">
      <c r="B16" s="52" t="s">
        <v>3030</v>
      </c>
      <c r="C16" s="41" t="s">
        <v>2883</v>
      </c>
      <c r="D16" s="51"/>
    </row>
    <row r="17" spans="2:10">
      <c r="B17" s="52" t="s">
        <v>3089</v>
      </c>
      <c r="C17" s="41" t="s">
        <v>2929</v>
      </c>
      <c r="D17" s="51"/>
    </row>
    <row r="18" spans="2:10">
      <c r="B18" s="52" t="s">
        <v>3090</v>
      </c>
      <c r="C18" s="41" t="s">
        <v>3091</v>
      </c>
      <c r="D18" s="51"/>
    </row>
    <row r="19" spans="2:10">
      <c r="B19" s="52" t="s">
        <v>3092</v>
      </c>
      <c r="C19" s="41" t="s">
        <v>3093</v>
      </c>
      <c r="D19" s="51"/>
    </row>
    <row r="20" spans="2:10">
      <c r="I20" s="13" t="str">
        <f>IF(COUNTIF(D:D,"Reported")&gt;0,Show!$B$10&amp;Show!$B$10,"!!")&amp;"S.01.01.12.01 Rows {"&amp;COLUMN($C$1)&amp;"}"</f>
        <v>!!S.01.01.12.01 Rows {3}</v>
      </c>
      <c r="J20" s="13" t="str">
        <f>IF(COUNTIF(D:D,"Reported")&gt;0,Show!$B$10&amp;Show!$B$10,"!!")&amp;"S.01.01.12.01 Columns {"&amp;COLUMN($D$1)&amp;"}"</f>
        <v>!!S.01.01.12.01 Columns {4}</v>
      </c>
    </row>
  </sheetData>
  <sheetProtection sheet="1" objects="1" scenarios="1"/>
  <mergeCells count="3">
    <mergeCell ref="B2:O2"/>
    <mergeCell ref="B5:L5"/>
    <mergeCell ref="D9:D12"/>
  </mergeCells>
  <dataValidations count="3">
    <dataValidation type="list" errorStyle="warning" allowBlank="1" showInputMessage="1" showErrorMessage="1" sqref="D16" xr:uid="{9EFAEFB6-A959-4345-9A78-BC00AA8F0601}">
      <formula1>hier_CN_2</formula1>
    </dataValidation>
    <dataValidation type="list" errorStyle="warning" allowBlank="1" showInputMessage="1" showErrorMessage="1" sqref="D17" xr:uid="{8BA6C931-7251-49A5-9C2B-12F4F6DC6DB4}">
      <formula1>hier_CN_30</formula1>
    </dataValidation>
    <dataValidation type="list" errorStyle="warning" allowBlank="1" showInputMessage="1" showErrorMessage="1" sqref="D18 D19" xr:uid="{57733711-F297-41AA-9E83-C7C4D1F67403}">
      <formula1>hier_CN_15</formula1>
    </dataValidation>
  </dataValidations>
  <hyperlinks>
    <hyperlink ref="B16" location="'S.01.02.04'!A1" display="S.01.02.04 - Basic Information - General" xr:uid="{9A3ED7AC-5331-4210-8336-F49CDB24FED9}"/>
    <hyperlink ref="B17" location="'S.14.01.10'!A1" display="S.14.01.10 - Life obligations analysis" xr:uid="{A48342A0-FAEF-4808-AD9A-B7D86B4D1B9E}"/>
    <hyperlink ref="B18" location="'S.38.01.10'!A1" display="S.38.01.10 - Duration of technical provisions" xr:uid="{1C28E4B8-90C0-4FFE-98D6-01679429DC54}"/>
    <hyperlink ref="B19" location="'S.40.01.10'!A1" display="S.40.01.10 - Profit or Loss sharing" xr:uid="{B822E362-62A4-4E39-A8E8-40EFC361FD85}"/>
  </hyperlinks>
  <pageMargins left="0.7" right="0.7" top="0.75" bottom="0.75" header="0.3" footer="0.3"/>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4976F-8008-468C-84C4-98C7860FCFD7}">
  <sheetPr codeName="Blad140"/>
  <dimension ref="B2:P161"/>
  <sheetViews>
    <sheetView showGridLines="0" workbookViewId="0"/>
  </sheetViews>
  <sheetFormatPr defaultRowHeight="15"/>
  <cols>
    <col min="2" max="2" width="85.140625" bestFit="1" customWidth="1"/>
    <col min="4" max="4" width="40.7109375" customWidth="1"/>
    <col min="5" max="8" width="15.7109375" customWidth="1"/>
  </cols>
  <sheetData>
    <row r="2" spans="2:16" ht="23.25">
      <c r="B2" s="86" t="s">
        <v>714</v>
      </c>
      <c r="C2" s="87"/>
      <c r="D2" s="87"/>
      <c r="E2" s="87"/>
      <c r="F2" s="87"/>
      <c r="G2" s="87"/>
      <c r="H2" s="87"/>
      <c r="I2" s="87"/>
      <c r="J2" s="87"/>
      <c r="K2" s="87"/>
      <c r="L2" s="87"/>
      <c r="M2" s="87"/>
      <c r="N2" s="87"/>
      <c r="O2" s="87"/>
    </row>
    <row r="5" spans="2:16" ht="18.75">
      <c r="B5" s="88" t="s">
        <v>4840</v>
      </c>
      <c r="C5" s="87"/>
      <c r="D5" s="87"/>
      <c r="E5" s="87"/>
      <c r="F5" s="87"/>
      <c r="G5" s="87"/>
      <c r="H5" s="87"/>
      <c r="I5" s="87"/>
      <c r="J5" s="87"/>
      <c r="K5" s="87"/>
      <c r="L5" s="87"/>
    </row>
    <row r="7" spans="2:16">
      <c r="B7" t="s">
        <v>3110</v>
      </c>
      <c r="O7" s="13" t="str">
        <f>Show!$B$136&amp;"S.26.01.04.01 Table label {"&amp;COLUMN($C$1)&amp;"}"</f>
        <v>!S.26.01.04.01 Table label {3}</v>
      </c>
      <c r="P7" s="13" t="str">
        <f>Show!$B$136&amp;"S.26.01.04.01 Table value {"&amp;COLUMN($D$1)&amp;"}"</f>
        <v>!S.26.01.04.01 Table value {4}</v>
      </c>
    </row>
    <row r="8" spans="2:16">
      <c r="B8" t="s">
        <v>3111</v>
      </c>
    </row>
    <row r="9" spans="2:16">
      <c r="B9" s="40" t="s">
        <v>4622</v>
      </c>
      <c r="C9" s="53" t="s">
        <v>3113</v>
      </c>
      <c r="D9" s="51"/>
    </row>
    <row r="10" spans="2:16">
      <c r="O10" s="13" t="str">
        <f>Show!$B$136&amp;Show!$B$136&amp;"S.26.01.04.01 Table label {"&amp;COLUMN($C$1)&amp;"}"</f>
        <v>!!S.26.01.04.01 Table label {3}</v>
      </c>
      <c r="P10" s="13" t="str">
        <f>Show!$B$136&amp;Show!$B$136&amp;"S.26.01.04.01 Table value {"&amp;COLUMN($D$1)&amp;"}"</f>
        <v>!!S.26.01.04.01 Table value {4}</v>
      </c>
    </row>
    <row r="12" spans="2:16">
      <c r="D12" s="92" t="s">
        <v>2877</v>
      </c>
      <c r="E12" s="93"/>
      <c r="F12" s="93"/>
      <c r="G12" s="93"/>
      <c r="H12" s="94"/>
    </row>
    <row r="13" spans="2:16">
      <c r="D13" s="95"/>
      <c r="E13" s="96"/>
      <c r="F13" s="96"/>
      <c r="G13" s="96"/>
      <c r="H13" s="97"/>
    </row>
    <row r="14" spans="2:16">
      <c r="D14" s="98" t="s">
        <v>4763</v>
      </c>
      <c r="E14" s="99"/>
      <c r="F14" s="98" t="s">
        <v>4764</v>
      </c>
      <c r="G14" s="100"/>
      <c r="H14" s="99"/>
    </row>
    <row r="15" spans="2:16">
      <c r="D15" s="89" t="s">
        <v>3252</v>
      </c>
      <c r="E15" s="89" t="s">
        <v>2389</v>
      </c>
      <c r="F15" s="89" t="s">
        <v>3252</v>
      </c>
      <c r="G15" s="89" t="s">
        <v>4765</v>
      </c>
      <c r="H15" s="89" t="s">
        <v>4766</v>
      </c>
    </row>
    <row r="16" spans="2:16">
      <c r="D16" s="91"/>
      <c r="E16" s="91"/>
      <c r="F16" s="91"/>
      <c r="G16" s="91"/>
      <c r="H16" s="91"/>
    </row>
    <row r="17" spans="2:16">
      <c r="D17" s="45" t="s">
        <v>3219</v>
      </c>
      <c r="E17" s="45" t="s">
        <v>3225</v>
      </c>
      <c r="F17" s="45" t="s">
        <v>3223</v>
      </c>
      <c r="G17" s="45" t="s">
        <v>3229</v>
      </c>
      <c r="H17" s="45" t="s">
        <v>3233</v>
      </c>
      <c r="O17" s="13" t="str">
        <f>Show!$B$136&amp;"S.26.01.04.01 Rows {"&amp;COLUMN($C$1)&amp;"}"&amp;"@ForceFilingCode:true"</f>
        <v>!S.26.01.04.01 Rows {3}@ForceFilingCode:true</v>
      </c>
      <c r="P17" s="13" t="str">
        <f>Show!$B$136&amp;"S.26.01.04.01 Columns {"&amp;COLUMN($D$1)&amp;"}"</f>
        <v>!S.26.01.04.01 Columns {4}</v>
      </c>
    </row>
    <row r="18" spans="2:16">
      <c r="B18" s="43" t="s">
        <v>2880</v>
      </c>
      <c r="C18" s="44" t="s">
        <v>2878</v>
      </c>
      <c r="D18" s="58"/>
      <c r="E18" s="67"/>
      <c r="F18" s="67"/>
      <c r="G18" s="67"/>
      <c r="H18" s="59"/>
    </row>
    <row r="19" spans="2:16">
      <c r="B19" s="47" t="s">
        <v>4767</v>
      </c>
      <c r="C19" s="44" t="s">
        <v>2899</v>
      </c>
      <c r="D19" s="56"/>
      <c r="E19" s="56"/>
      <c r="F19" s="56"/>
      <c r="G19" s="56"/>
      <c r="H19" s="46"/>
    </row>
    <row r="20" spans="2:16">
      <c r="B20" s="49" t="s">
        <v>4768</v>
      </c>
      <c r="C20" s="41" t="s">
        <v>2901</v>
      </c>
      <c r="D20" s="60"/>
      <c r="E20" s="60"/>
      <c r="F20" s="60"/>
      <c r="G20" s="60"/>
      <c r="H20" s="60"/>
    </row>
    <row r="21" spans="2:16">
      <c r="B21" s="49" t="s">
        <v>4769</v>
      </c>
      <c r="C21" s="41" t="s">
        <v>2903</v>
      </c>
      <c r="D21" s="63"/>
      <c r="E21" s="63"/>
      <c r="F21" s="63"/>
      <c r="G21" s="63"/>
      <c r="H21" s="63"/>
    </row>
    <row r="22" spans="2:16">
      <c r="B22" s="47" t="s">
        <v>4770</v>
      </c>
      <c r="C22" s="44" t="s">
        <v>2919</v>
      </c>
      <c r="D22" s="56"/>
      <c r="E22" s="56"/>
      <c r="F22" s="56"/>
      <c r="G22" s="56"/>
      <c r="H22" s="46"/>
    </row>
    <row r="23" spans="2:16">
      <c r="B23" s="49" t="s">
        <v>4771</v>
      </c>
      <c r="C23" s="41" t="s">
        <v>2921</v>
      </c>
      <c r="D23" s="60"/>
      <c r="E23" s="63"/>
      <c r="F23" s="60"/>
      <c r="G23" s="63"/>
      <c r="H23" s="63"/>
    </row>
    <row r="24" spans="2:16">
      <c r="B24" s="61" t="s">
        <v>4772</v>
      </c>
      <c r="C24" s="41" t="s">
        <v>4773</v>
      </c>
      <c r="D24" s="64"/>
      <c r="E24" s="48"/>
      <c r="F24" s="64"/>
      <c r="G24" s="58"/>
      <c r="H24" s="48"/>
    </row>
    <row r="25" spans="2:16">
      <c r="B25" s="61" t="s">
        <v>4774</v>
      </c>
      <c r="C25" s="41" t="s">
        <v>2925</v>
      </c>
      <c r="D25" s="64"/>
      <c r="E25" s="48"/>
      <c r="F25" s="64"/>
      <c r="G25" s="58"/>
      <c r="H25" s="48"/>
    </row>
    <row r="26" spans="2:16">
      <c r="B26" s="61" t="s">
        <v>4775</v>
      </c>
      <c r="C26" s="41" t="s">
        <v>4776</v>
      </c>
      <c r="D26" s="64"/>
      <c r="E26" s="48"/>
      <c r="F26" s="64"/>
      <c r="G26" s="58"/>
      <c r="H26" s="48"/>
    </row>
    <row r="27" spans="2:16">
      <c r="B27" s="61" t="s">
        <v>4777</v>
      </c>
      <c r="C27" s="41" t="s">
        <v>2927</v>
      </c>
      <c r="D27" s="64"/>
      <c r="E27" s="46"/>
      <c r="F27" s="64"/>
      <c r="G27" s="56"/>
      <c r="H27" s="46"/>
    </row>
    <row r="28" spans="2:16">
      <c r="B28" s="49" t="s">
        <v>4778</v>
      </c>
      <c r="C28" s="41" t="s">
        <v>2929</v>
      </c>
      <c r="D28" s="60"/>
      <c r="E28" s="63"/>
      <c r="F28" s="60"/>
      <c r="G28" s="63"/>
      <c r="H28" s="63"/>
    </row>
    <row r="29" spans="2:16">
      <c r="B29" s="61" t="s">
        <v>4779</v>
      </c>
      <c r="C29" s="41" t="s">
        <v>4780</v>
      </c>
      <c r="D29" s="64"/>
      <c r="E29" s="48"/>
      <c r="F29" s="64"/>
      <c r="G29" s="58"/>
      <c r="H29" s="48"/>
    </row>
    <row r="30" spans="2:16">
      <c r="B30" s="61" t="s">
        <v>4781</v>
      </c>
      <c r="C30" s="41" t="s">
        <v>2933</v>
      </c>
      <c r="D30" s="64"/>
      <c r="E30" s="48"/>
      <c r="F30" s="64"/>
      <c r="G30" s="58"/>
      <c r="H30" s="48"/>
    </row>
    <row r="31" spans="2:16">
      <c r="B31" s="61" t="s">
        <v>4782</v>
      </c>
      <c r="C31" s="41" t="s">
        <v>4783</v>
      </c>
      <c r="D31" s="64"/>
      <c r="E31" s="48"/>
      <c r="F31" s="64"/>
      <c r="G31" s="58"/>
      <c r="H31" s="48"/>
    </row>
    <row r="32" spans="2:16">
      <c r="B32" s="61" t="s">
        <v>4784</v>
      </c>
      <c r="C32" s="41" t="s">
        <v>2935</v>
      </c>
      <c r="D32" s="64"/>
      <c r="E32" s="46"/>
      <c r="F32" s="64"/>
      <c r="G32" s="56"/>
      <c r="H32" s="46"/>
    </row>
    <row r="33" spans="2:8">
      <c r="B33" s="49" t="s">
        <v>4785</v>
      </c>
      <c r="C33" s="41" t="s">
        <v>4786</v>
      </c>
      <c r="D33" s="60"/>
      <c r="E33" s="63"/>
      <c r="F33" s="60"/>
      <c r="G33" s="63"/>
      <c r="H33" s="63"/>
    </row>
    <row r="34" spans="2:8">
      <c r="B34" s="61" t="s">
        <v>4787</v>
      </c>
      <c r="C34" s="41" t="s">
        <v>4788</v>
      </c>
      <c r="D34" s="64"/>
      <c r="E34" s="48"/>
      <c r="F34" s="64"/>
      <c r="G34" s="58"/>
      <c r="H34" s="48"/>
    </row>
    <row r="35" spans="2:8">
      <c r="B35" s="61" t="s">
        <v>4789</v>
      </c>
      <c r="C35" s="41" t="s">
        <v>4790</v>
      </c>
      <c r="D35" s="64"/>
      <c r="E35" s="48"/>
      <c r="F35" s="64"/>
      <c r="G35" s="58"/>
      <c r="H35" s="48"/>
    </row>
    <row r="36" spans="2:8">
      <c r="B36" s="61" t="s">
        <v>4791</v>
      </c>
      <c r="C36" s="41" t="s">
        <v>4792</v>
      </c>
      <c r="D36" s="64"/>
      <c r="E36" s="46"/>
      <c r="F36" s="64"/>
      <c r="G36" s="56"/>
      <c r="H36" s="46"/>
    </row>
    <row r="37" spans="2:8">
      <c r="B37" s="49" t="s">
        <v>4793</v>
      </c>
      <c r="C37" s="41" t="s">
        <v>4794</v>
      </c>
      <c r="D37" s="60"/>
      <c r="E37" s="63"/>
      <c r="F37" s="60"/>
      <c r="G37" s="63"/>
      <c r="H37" s="63"/>
    </row>
    <row r="38" spans="2:8" ht="30">
      <c r="B38" s="61" t="s">
        <v>4795</v>
      </c>
      <c r="C38" s="41" t="s">
        <v>4796</v>
      </c>
      <c r="D38" s="64"/>
      <c r="E38" s="48"/>
      <c r="F38" s="64"/>
      <c r="G38" s="58"/>
      <c r="H38" s="48"/>
    </row>
    <row r="39" spans="2:8">
      <c r="B39" s="61" t="s">
        <v>4797</v>
      </c>
      <c r="C39" s="41" t="s">
        <v>4798</v>
      </c>
      <c r="D39" s="64"/>
      <c r="E39" s="48"/>
      <c r="F39" s="64"/>
      <c r="G39" s="58"/>
      <c r="H39" s="48"/>
    </row>
    <row r="40" spans="2:8">
      <c r="B40" s="61" t="s">
        <v>4799</v>
      </c>
      <c r="C40" s="41" t="s">
        <v>4800</v>
      </c>
      <c r="D40" s="64"/>
      <c r="E40" s="46"/>
      <c r="F40" s="64"/>
      <c r="G40" s="56"/>
      <c r="H40" s="46"/>
    </row>
    <row r="41" spans="2:8">
      <c r="B41" s="47" t="s">
        <v>4801</v>
      </c>
      <c r="C41" s="41" t="s">
        <v>2939</v>
      </c>
      <c r="D41" s="63"/>
      <c r="E41" s="63"/>
      <c r="F41" s="63"/>
      <c r="G41" s="63"/>
      <c r="H41" s="63"/>
    </row>
    <row r="42" spans="2:8">
      <c r="B42" s="47" t="s">
        <v>4802</v>
      </c>
      <c r="C42" s="44" t="s">
        <v>2959</v>
      </c>
      <c r="D42" s="56"/>
      <c r="E42" s="56"/>
      <c r="F42" s="56"/>
      <c r="G42" s="56"/>
      <c r="H42" s="46"/>
    </row>
    <row r="43" spans="2:8">
      <c r="B43" s="49" t="s">
        <v>4803</v>
      </c>
      <c r="C43" s="41" t="s">
        <v>2961</v>
      </c>
      <c r="D43" s="60"/>
      <c r="E43" s="60"/>
      <c r="F43" s="60"/>
      <c r="G43" s="60"/>
      <c r="H43" s="60"/>
    </row>
    <row r="44" spans="2:8">
      <c r="B44" s="61" t="s">
        <v>4804</v>
      </c>
      <c r="C44" s="41" t="s">
        <v>4805</v>
      </c>
      <c r="D44" s="60"/>
      <c r="E44" s="60"/>
      <c r="F44" s="60"/>
      <c r="G44" s="60"/>
      <c r="H44" s="60"/>
    </row>
    <row r="45" spans="2:8" ht="30">
      <c r="B45" s="61" t="s">
        <v>4806</v>
      </c>
      <c r="C45" s="41" t="s">
        <v>4807</v>
      </c>
      <c r="D45" s="60"/>
      <c r="E45" s="60"/>
      <c r="F45" s="60"/>
      <c r="G45" s="60"/>
      <c r="H45" s="60"/>
    </row>
    <row r="46" spans="2:8" ht="30">
      <c r="B46" s="61" t="s">
        <v>4808</v>
      </c>
      <c r="C46" s="41" t="s">
        <v>4809</v>
      </c>
      <c r="D46" s="63"/>
      <c r="E46" s="63"/>
      <c r="F46" s="63"/>
      <c r="G46" s="63"/>
      <c r="H46" s="63"/>
    </row>
    <row r="47" spans="2:8">
      <c r="B47" s="49" t="s">
        <v>4810</v>
      </c>
      <c r="C47" s="44" t="s">
        <v>2963</v>
      </c>
      <c r="D47" s="56"/>
      <c r="E47" s="56"/>
      <c r="F47" s="56"/>
      <c r="G47" s="56"/>
      <c r="H47" s="46"/>
    </row>
    <row r="48" spans="2:8">
      <c r="B48" s="61" t="s">
        <v>4811</v>
      </c>
      <c r="C48" s="41" t="s">
        <v>2965</v>
      </c>
      <c r="D48" s="60"/>
      <c r="E48" s="60"/>
      <c r="F48" s="60"/>
      <c r="G48" s="60"/>
      <c r="H48" s="60"/>
    </row>
    <row r="49" spans="2:16">
      <c r="B49" s="61" t="s">
        <v>4812</v>
      </c>
      <c r="C49" s="41" t="s">
        <v>2967</v>
      </c>
      <c r="D49" s="60"/>
      <c r="E49" s="60"/>
      <c r="F49" s="60"/>
      <c r="G49" s="60"/>
      <c r="H49" s="60"/>
    </row>
    <row r="50" spans="2:16">
      <c r="B50" s="49" t="s">
        <v>4813</v>
      </c>
      <c r="C50" s="41" t="s">
        <v>2969</v>
      </c>
      <c r="D50" s="60"/>
      <c r="E50" s="60"/>
      <c r="F50" s="60"/>
      <c r="G50" s="60"/>
      <c r="H50" s="60"/>
    </row>
    <row r="51" spans="2:16">
      <c r="B51" s="61" t="s">
        <v>4814</v>
      </c>
      <c r="C51" s="41" t="s">
        <v>4815</v>
      </c>
      <c r="D51" s="60"/>
      <c r="E51" s="60"/>
      <c r="F51" s="60"/>
      <c r="G51" s="60"/>
      <c r="H51" s="60"/>
    </row>
    <row r="52" spans="2:16">
      <c r="B52" s="61" t="s">
        <v>4816</v>
      </c>
      <c r="C52" s="41" t="s">
        <v>4817</v>
      </c>
      <c r="D52" s="60"/>
      <c r="E52" s="60"/>
      <c r="F52" s="60"/>
      <c r="G52" s="60"/>
      <c r="H52" s="60"/>
    </row>
    <row r="53" spans="2:16">
      <c r="B53" s="61" t="s">
        <v>4818</v>
      </c>
      <c r="C53" s="41" t="s">
        <v>2975</v>
      </c>
      <c r="D53" s="60"/>
      <c r="E53" s="60"/>
      <c r="F53" s="60"/>
      <c r="G53" s="60"/>
      <c r="H53" s="60"/>
    </row>
    <row r="54" spans="2:16">
      <c r="B54" s="61" t="s">
        <v>4819</v>
      </c>
      <c r="C54" s="41" t="s">
        <v>4820</v>
      </c>
      <c r="D54" s="60"/>
      <c r="E54" s="60"/>
      <c r="F54" s="60"/>
      <c r="G54" s="60"/>
      <c r="H54" s="60"/>
    </row>
    <row r="55" spans="2:16">
      <c r="B55" s="61" t="s">
        <v>4821</v>
      </c>
      <c r="C55" s="41" t="s">
        <v>4822</v>
      </c>
      <c r="D55" s="60"/>
      <c r="E55" s="60"/>
      <c r="F55" s="60"/>
      <c r="G55" s="60"/>
      <c r="H55" s="60"/>
    </row>
    <row r="56" spans="2:16">
      <c r="B56" s="61" t="s">
        <v>4823</v>
      </c>
      <c r="C56" s="41" t="s">
        <v>4824</v>
      </c>
      <c r="D56" s="60"/>
      <c r="E56" s="63"/>
      <c r="F56" s="63"/>
      <c r="G56" s="63"/>
      <c r="H56" s="63"/>
    </row>
    <row r="57" spans="2:16">
      <c r="B57" s="47" t="s">
        <v>4825</v>
      </c>
      <c r="C57" s="41" t="s">
        <v>2977</v>
      </c>
      <c r="D57" s="65"/>
      <c r="E57" s="58"/>
      <c r="F57" s="58"/>
      <c r="G57" s="58"/>
      <c r="H57" s="48"/>
    </row>
    <row r="58" spans="2:16">
      <c r="B58" s="47" t="s">
        <v>4826</v>
      </c>
      <c r="C58" s="44" t="s">
        <v>2997</v>
      </c>
      <c r="D58" s="56"/>
      <c r="E58" s="56"/>
      <c r="F58" s="56"/>
      <c r="G58" s="56"/>
      <c r="H58" s="46"/>
    </row>
    <row r="59" spans="2:16">
      <c r="B59" s="49" t="s">
        <v>4827</v>
      </c>
      <c r="C59" s="41" t="s">
        <v>2999</v>
      </c>
      <c r="D59" s="60"/>
      <c r="E59" s="60"/>
      <c r="F59" s="60"/>
      <c r="G59" s="60"/>
      <c r="H59" s="60"/>
    </row>
    <row r="60" spans="2:16">
      <c r="B60" s="49" t="s">
        <v>4828</v>
      </c>
      <c r="C60" s="41" t="s">
        <v>3001</v>
      </c>
      <c r="D60" s="63"/>
      <c r="E60" s="63"/>
      <c r="F60" s="63"/>
      <c r="G60" s="63"/>
      <c r="H60" s="63"/>
    </row>
    <row r="61" spans="2:16">
      <c r="B61" s="47" t="s">
        <v>4829</v>
      </c>
      <c r="C61" s="44" t="s">
        <v>3064</v>
      </c>
      <c r="D61" s="58"/>
      <c r="E61" s="58"/>
      <c r="F61" s="58"/>
      <c r="G61" s="58"/>
      <c r="H61" s="48"/>
    </row>
    <row r="62" spans="2:16">
      <c r="B62" s="47" t="s">
        <v>4830</v>
      </c>
      <c r="C62" s="44" t="s">
        <v>3120</v>
      </c>
      <c r="D62" s="56"/>
      <c r="E62" s="56"/>
      <c r="F62" s="56"/>
      <c r="G62" s="56"/>
      <c r="H62" s="46"/>
    </row>
    <row r="64" spans="2:16">
      <c r="O64" s="13" t="str">
        <f>Show!$B$136&amp;Show!$B$136&amp;"S.26.01.04.01 Rows {"&amp;COLUMN($C$1)&amp;"}"</f>
        <v>!!S.26.01.04.01 Rows {3}</v>
      </c>
      <c r="P64" s="13" t="str">
        <f>Show!$B$136&amp;Show!$B$136&amp;"S.26.01.04.01 Columns {"&amp;COLUMN($H$1)&amp;"}"</f>
        <v>!!S.26.01.04.01 Columns {8}</v>
      </c>
    </row>
    <row r="66" spans="2:16" ht="18.75">
      <c r="B66" s="88" t="s">
        <v>4841</v>
      </c>
      <c r="C66" s="87"/>
      <c r="D66" s="87"/>
      <c r="E66" s="87"/>
      <c r="F66" s="87"/>
      <c r="G66" s="87"/>
      <c r="H66" s="87"/>
      <c r="I66" s="87"/>
      <c r="J66" s="87"/>
      <c r="K66" s="87"/>
      <c r="L66" s="87"/>
    </row>
    <row r="68" spans="2:16">
      <c r="B68" t="s">
        <v>3110</v>
      </c>
      <c r="O68" s="13" t="str">
        <f>Show!$B$136&amp;"S.26.01.04.02 Table label {"&amp;COLUMN($C$1)&amp;"}"</f>
        <v>!S.26.01.04.02 Table label {3}</v>
      </c>
      <c r="P68" s="13" t="str">
        <f>Show!$B$136&amp;"S.26.01.04.02 Table value {"&amp;COLUMN($D$1)&amp;"}"</f>
        <v>!S.26.01.04.02 Table value {4}</v>
      </c>
    </row>
    <row r="69" spans="2:16">
      <c r="B69" t="s">
        <v>3111</v>
      </c>
    </row>
    <row r="70" spans="2:16">
      <c r="B70" s="40" t="s">
        <v>4622</v>
      </c>
      <c r="C70" s="53" t="s">
        <v>3113</v>
      </c>
      <c r="D70" s="51"/>
    </row>
    <row r="71" spans="2:16">
      <c r="O71" s="13" t="str">
        <f>Show!$B$136&amp;Show!$B$136&amp;"S.26.01.04.02 Table label {"&amp;COLUMN($C$1)&amp;"}"</f>
        <v>!!S.26.01.04.02 Table label {3}</v>
      </c>
      <c r="P71" s="13" t="str">
        <f>Show!$B$136&amp;Show!$B$136&amp;"S.26.01.04.02 Table value {"&amp;COLUMN($D$1)&amp;"}"</f>
        <v>!!S.26.01.04.02 Table value {4}</v>
      </c>
    </row>
    <row r="73" spans="2:16">
      <c r="D73" s="92" t="s">
        <v>2877</v>
      </c>
      <c r="E73" s="94"/>
    </row>
    <row r="74" spans="2:16">
      <c r="D74" s="95"/>
      <c r="E74" s="97"/>
    </row>
    <row r="75" spans="2:16">
      <c r="D75" s="98" t="s">
        <v>4764</v>
      </c>
      <c r="E75" s="99"/>
    </row>
    <row r="76" spans="2:16">
      <c r="D76" s="89" t="s">
        <v>4623</v>
      </c>
      <c r="E76" s="89" t="s">
        <v>4624</v>
      </c>
    </row>
    <row r="77" spans="2:16">
      <c r="D77" s="91"/>
      <c r="E77" s="91"/>
    </row>
    <row r="78" spans="2:16">
      <c r="D78" s="45" t="s">
        <v>3231</v>
      </c>
      <c r="E78" s="45" t="s">
        <v>3234</v>
      </c>
      <c r="O78" s="13" t="str">
        <f>Show!$B$136&amp;"S.26.01.04.02 Rows {"&amp;COLUMN($C$1)&amp;"}"&amp;"@ForceFilingCode:true"</f>
        <v>!S.26.01.04.02 Rows {3}@ForceFilingCode:true</v>
      </c>
      <c r="P78" s="13" t="str">
        <f>Show!$B$136&amp;"S.26.01.04.02 Columns {"&amp;COLUMN($D$1)&amp;"}"</f>
        <v>!S.26.01.04.02 Columns {4}</v>
      </c>
    </row>
    <row r="79" spans="2:16">
      <c r="B79" s="43" t="s">
        <v>2880</v>
      </c>
      <c r="C79" s="44" t="s">
        <v>2878</v>
      </c>
      <c r="D79" s="56"/>
      <c r="E79" s="57"/>
    </row>
    <row r="80" spans="2:16">
      <c r="B80" s="47" t="s">
        <v>4767</v>
      </c>
      <c r="C80" s="41" t="s">
        <v>2899</v>
      </c>
      <c r="D80" s="60"/>
      <c r="E80" s="60"/>
    </row>
    <row r="81" spans="2:5">
      <c r="B81" s="49" t="s">
        <v>4768</v>
      </c>
      <c r="C81" s="41" t="s">
        <v>2901</v>
      </c>
      <c r="D81" s="60"/>
      <c r="E81" s="60"/>
    </row>
    <row r="82" spans="2:5">
      <c r="B82" s="49" t="s">
        <v>4769</v>
      </c>
      <c r="C82" s="41" t="s">
        <v>2903</v>
      </c>
      <c r="D82" s="60"/>
      <c r="E82" s="60"/>
    </row>
    <row r="83" spans="2:5">
      <c r="B83" s="47" t="s">
        <v>4770</v>
      </c>
      <c r="C83" s="41" t="s">
        <v>2919</v>
      </c>
      <c r="D83" s="60"/>
      <c r="E83" s="60"/>
    </row>
    <row r="84" spans="2:5">
      <c r="B84" s="49" t="s">
        <v>4771</v>
      </c>
      <c r="C84" s="41" t="s">
        <v>2921</v>
      </c>
      <c r="D84" s="63"/>
      <c r="E84" s="63"/>
    </row>
    <row r="85" spans="2:5">
      <c r="B85" s="61" t="s">
        <v>4772</v>
      </c>
      <c r="C85" s="44" t="s">
        <v>4773</v>
      </c>
      <c r="D85" s="58"/>
      <c r="E85" s="48"/>
    </row>
    <row r="86" spans="2:5">
      <c r="B86" s="61" t="s">
        <v>4774</v>
      </c>
      <c r="C86" s="44" t="s">
        <v>2925</v>
      </c>
      <c r="D86" s="58"/>
      <c r="E86" s="48"/>
    </row>
    <row r="87" spans="2:5">
      <c r="B87" s="61" t="s">
        <v>4775</v>
      </c>
      <c r="C87" s="44" t="s">
        <v>4776</v>
      </c>
      <c r="D87" s="58"/>
      <c r="E87" s="48"/>
    </row>
    <row r="88" spans="2:5">
      <c r="B88" s="61" t="s">
        <v>4777</v>
      </c>
      <c r="C88" s="44" t="s">
        <v>2927</v>
      </c>
      <c r="D88" s="56"/>
      <c r="E88" s="46"/>
    </row>
    <row r="89" spans="2:5">
      <c r="B89" s="49" t="s">
        <v>4778</v>
      </c>
      <c r="C89" s="41" t="s">
        <v>2929</v>
      </c>
      <c r="D89" s="63"/>
      <c r="E89" s="63"/>
    </row>
    <row r="90" spans="2:5">
      <c r="B90" s="61" t="s">
        <v>4779</v>
      </c>
      <c r="C90" s="44" t="s">
        <v>4780</v>
      </c>
      <c r="D90" s="58"/>
      <c r="E90" s="48"/>
    </row>
    <row r="91" spans="2:5">
      <c r="B91" s="61" t="s">
        <v>4781</v>
      </c>
      <c r="C91" s="44" t="s">
        <v>2933</v>
      </c>
      <c r="D91" s="58"/>
      <c r="E91" s="48"/>
    </row>
    <row r="92" spans="2:5">
      <c r="B92" s="61" t="s">
        <v>4782</v>
      </c>
      <c r="C92" s="44" t="s">
        <v>4783</v>
      </c>
      <c r="D92" s="58"/>
      <c r="E92" s="48"/>
    </row>
    <row r="93" spans="2:5">
      <c r="B93" s="61" t="s">
        <v>4784</v>
      </c>
      <c r="C93" s="44" t="s">
        <v>2935</v>
      </c>
      <c r="D93" s="56"/>
      <c r="E93" s="46"/>
    </row>
    <row r="94" spans="2:5">
      <c r="B94" s="49" t="s">
        <v>4785</v>
      </c>
      <c r="C94" s="41" t="s">
        <v>4786</v>
      </c>
      <c r="D94" s="63"/>
      <c r="E94" s="63"/>
    </row>
    <row r="95" spans="2:5">
      <c r="B95" s="61" t="s">
        <v>4787</v>
      </c>
      <c r="C95" s="44" t="s">
        <v>4788</v>
      </c>
      <c r="D95" s="58"/>
      <c r="E95" s="48"/>
    </row>
    <row r="96" spans="2:5">
      <c r="B96" s="61" t="s">
        <v>4789</v>
      </c>
      <c r="C96" s="44" t="s">
        <v>4790</v>
      </c>
      <c r="D96" s="58"/>
      <c r="E96" s="48"/>
    </row>
    <row r="97" spans="2:5">
      <c r="B97" s="61" t="s">
        <v>4791</v>
      </c>
      <c r="C97" s="44" t="s">
        <v>4792</v>
      </c>
      <c r="D97" s="56"/>
      <c r="E97" s="46"/>
    </row>
    <row r="98" spans="2:5">
      <c r="B98" s="49" t="s">
        <v>4793</v>
      </c>
      <c r="C98" s="41" t="s">
        <v>4794</v>
      </c>
      <c r="D98" s="63"/>
      <c r="E98" s="63"/>
    </row>
    <row r="99" spans="2:5" ht="30">
      <c r="B99" s="61" t="s">
        <v>4795</v>
      </c>
      <c r="C99" s="44" t="s">
        <v>4796</v>
      </c>
      <c r="D99" s="58"/>
      <c r="E99" s="48"/>
    </row>
    <row r="100" spans="2:5">
      <c r="B100" s="61" t="s">
        <v>4797</v>
      </c>
      <c r="C100" s="44" t="s">
        <v>4798</v>
      </c>
      <c r="D100" s="58"/>
      <c r="E100" s="48"/>
    </row>
    <row r="101" spans="2:5">
      <c r="B101" s="61" t="s">
        <v>4799</v>
      </c>
      <c r="C101" s="44" t="s">
        <v>4800</v>
      </c>
      <c r="D101" s="56"/>
      <c r="E101" s="46"/>
    </row>
    <row r="102" spans="2:5">
      <c r="B102" s="47" t="s">
        <v>4801</v>
      </c>
      <c r="C102" s="41" t="s">
        <v>2939</v>
      </c>
      <c r="D102" s="60"/>
      <c r="E102" s="60"/>
    </row>
    <row r="103" spans="2:5">
      <c r="B103" s="47" t="s">
        <v>4802</v>
      </c>
      <c r="C103" s="41" t="s">
        <v>2959</v>
      </c>
      <c r="D103" s="60"/>
      <c r="E103" s="60"/>
    </row>
    <row r="104" spans="2:5">
      <c r="B104" s="49" t="s">
        <v>4803</v>
      </c>
      <c r="C104" s="41" t="s">
        <v>2961</v>
      </c>
      <c r="D104" s="60"/>
      <c r="E104" s="60"/>
    </row>
    <row r="105" spans="2:5">
      <c r="B105" s="61" t="s">
        <v>4804</v>
      </c>
      <c r="C105" s="41" t="s">
        <v>4805</v>
      </c>
      <c r="D105" s="60"/>
      <c r="E105" s="60"/>
    </row>
    <row r="106" spans="2:5" ht="30">
      <c r="B106" s="61" t="s">
        <v>4806</v>
      </c>
      <c r="C106" s="41" t="s">
        <v>4807</v>
      </c>
      <c r="D106" s="60"/>
      <c r="E106" s="60"/>
    </row>
    <row r="107" spans="2:5" ht="30">
      <c r="B107" s="61" t="s">
        <v>4808</v>
      </c>
      <c r="C107" s="41" t="s">
        <v>4809</v>
      </c>
      <c r="D107" s="60"/>
      <c r="E107" s="60"/>
    </row>
    <row r="108" spans="2:5">
      <c r="B108" s="49" t="s">
        <v>4810</v>
      </c>
      <c r="C108" s="41" t="s">
        <v>2963</v>
      </c>
      <c r="D108" s="60"/>
      <c r="E108" s="60"/>
    </row>
    <row r="109" spans="2:5">
      <c r="B109" s="61" t="s">
        <v>4811</v>
      </c>
      <c r="C109" s="41" t="s">
        <v>2965</v>
      </c>
      <c r="D109" s="60"/>
      <c r="E109" s="60"/>
    </row>
    <row r="110" spans="2:5">
      <c r="B110" s="61" t="s">
        <v>4812</v>
      </c>
      <c r="C110" s="41" t="s">
        <v>2967</v>
      </c>
      <c r="D110" s="60"/>
      <c r="E110" s="60"/>
    </row>
    <row r="111" spans="2:5">
      <c r="B111" s="49" t="s">
        <v>4813</v>
      </c>
      <c r="C111" s="41" t="s">
        <v>2969</v>
      </c>
      <c r="D111" s="60"/>
      <c r="E111" s="60"/>
    </row>
    <row r="112" spans="2:5">
      <c r="B112" s="61" t="s">
        <v>4814</v>
      </c>
      <c r="C112" s="41" t="s">
        <v>4815</v>
      </c>
      <c r="D112" s="60"/>
      <c r="E112" s="60"/>
    </row>
    <row r="113" spans="2:16">
      <c r="B113" s="61" t="s">
        <v>4816</v>
      </c>
      <c r="C113" s="41" t="s">
        <v>4817</v>
      </c>
      <c r="D113" s="60"/>
      <c r="E113" s="60"/>
    </row>
    <row r="114" spans="2:16">
      <c r="B114" s="61" t="s">
        <v>4818</v>
      </c>
      <c r="C114" s="41" t="s">
        <v>2975</v>
      </c>
      <c r="D114" s="60"/>
      <c r="E114" s="60"/>
    </row>
    <row r="115" spans="2:16">
      <c r="B115" s="61" t="s">
        <v>4819</v>
      </c>
      <c r="C115" s="41" t="s">
        <v>4820</v>
      </c>
      <c r="D115" s="60"/>
      <c r="E115" s="60"/>
    </row>
    <row r="116" spans="2:16">
      <c r="B116" s="61" t="s">
        <v>4821</v>
      </c>
      <c r="C116" s="41" t="s">
        <v>4822</v>
      </c>
      <c r="D116" s="60"/>
      <c r="E116" s="60"/>
    </row>
    <row r="117" spans="2:16">
      <c r="B117" s="61" t="s">
        <v>4823</v>
      </c>
      <c r="C117" s="41" t="s">
        <v>4824</v>
      </c>
      <c r="D117" s="60"/>
      <c r="E117" s="60"/>
    </row>
    <row r="118" spans="2:16">
      <c r="B118" s="47" t="s">
        <v>4825</v>
      </c>
      <c r="C118" s="41" t="s">
        <v>2977</v>
      </c>
      <c r="D118" s="60"/>
      <c r="E118" s="60"/>
    </row>
    <row r="119" spans="2:16">
      <c r="B119" s="47" t="s">
        <v>4826</v>
      </c>
      <c r="C119" s="41" t="s">
        <v>2997</v>
      </c>
      <c r="D119" s="60"/>
      <c r="E119" s="60"/>
    </row>
    <row r="120" spans="2:16">
      <c r="B120" s="49" t="s">
        <v>4827</v>
      </c>
      <c r="C120" s="41" t="s">
        <v>2999</v>
      </c>
      <c r="D120" s="60"/>
      <c r="E120" s="60"/>
    </row>
    <row r="121" spans="2:16">
      <c r="B121" s="49" t="s">
        <v>4828</v>
      </c>
      <c r="C121" s="41" t="s">
        <v>3001</v>
      </c>
      <c r="D121" s="60"/>
      <c r="E121" s="60"/>
    </row>
    <row r="122" spans="2:16">
      <c r="B122" s="47" t="s">
        <v>4829</v>
      </c>
      <c r="C122" s="41" t="s">
        <v>3064</v>
      </c>
      <c r="D122" s="60"/>
      <c r="E122" s="60"/>
    </row>
    <row r="123" spans="2:16">
      <c r="B123" s="47" t="s">
        <v>4830</v>
      </c>
      <c r="C123" s="41" t="s">
        <v>3120</v>
      </c>
      <c r="D123" s="60"/>
      <c r="E123" s="60"/>
    </row>
    <row r="125" spans="2:16">
      <c r="O125" s="13" t="str">
        <f>Show!$B$136&amp;Show!$B$136&amp;"S.26.01.04.02 Rows {"&amp;COLUMN($C$1)&amp;"}"</f>
        <v>!!S.26.01.04.02 Rows {3}</v>
      </c>
      <c r="P125" s="13" t="str">
        <f>Show!$B$136&amp;Show!$B$136&amp;"S.26.01.04.02 Columns {"&amp;COLUMN($E$1)&amp;"}"</f>
        <v>!!S.26.01.04.02 Columns {5}</v>
      </c>
    </row>
    <row r="127" spans="2:16" ht="18.75">
      <c r="B127" s="88" t="s">
        <v>4842</v>
      </c>
      <c r="C127" s="87"/>
      <c r="D127" s="87"/>
      <c r="E127" s="87"/>
      <c r="F127" s="87"/>
      <c r="G127" s="87"/>
      <c r="H127" s="87"/>
      <c r="I127" s="87"/>
      <c r="J127" s="87"/>
      <c r="K127" s="87"/>
      <c r="L127" s="87"/>
    </row>
    <row r="129" spans="2:16">
      <c r="B129" t="s">
        <v>3110</v>
      </c>
      <c r="O129" s="13" t="str">
        <f>Show!$B$136&amp;"S.26.01.04.03 Table label {"&amp;COLUMN($C$1)&amp;"}"</f>
        <v>!S.26.01.04.03 Table label {3}</v>
      </c>
      <c r="P129" s="13" t="str">
        <f>Show!$B$136&amp;"S.26.01.04.03 Table value {"&amp;COLUMN($D$1)&amp;"}"</f>
        <v>!S.26.01.04.03 Table value {4}</v>
      </c>
    </row>
    <row r="130" spans="2:16">
      <c r="B130" t="s">
        <v>3111</v>
      </c>
    </row>
    <row r="131" spans="2:16">
      <c r="B131" s="40" t="s">
        <v>4622</v>
      </c>
      <c r="C131" s="53" t="s">
        <v>3113</v>
      </c>
      <c r="D131" s="51"/>
    </row>
    <row r="132" spans="2:16">
      <c r="O132" s="13" t="str">
        <f>Show!$B$136&amp;Show!$B$136&amp;"S.26.01.04.03 Table label {"&amp;COLUMN($C$1)&amp;"}"</f>
        <v>!!S.26.01.04.03 Table label {3}</v>
      </c>
      <c r="P132" s="13" t="str">
        <f>Show!$B$136&amp;Show!$B$136&amp;"S.26.01.04.03 Table value {"&amp;COLUMN($D$1)&amp;"}"</f>
        <v>!!S.26.01.04.03 Table value {4}</v>
      </c>
    </row>
    <row r="134" spans="2:16">
      <c r="D134" s="89" t="s">
        <v>2877</v>
      </c>
    </row>
    <row r="135" spans="2:16">
      <c r="D135" s="91"/>
    </row>
    <row r="136" spans="2:16">
      <c r="D136" s="55" t="s">
        <v>2574</v>
      </c>
    </row>
    <row r="137" spans="2:16">
      <c r="D137" s="45" t="s">
        <v>2879</v>
      </c>
      <c r="O137" s="13" t="str">
        <f>Show!$B$136&amp;"S.26.01.04.03 Rows {"&amp;COLUMN($C$1)&amp;"}"&amp;"@ForceFilingCode:true"</f>
        <v>!S.26.01.04.03 Rows {3}@ForceFilingCode:true</v>
      </c>
      <c r="P137" s="13" t="str">
        <f>Show!$B$136&amp;"S.26.01.04.03 Columns {"&amp;COLUMN($D$1)&amp;"}"</f>
        <v>!S.26.01.04.03 Columns {4}</v>
      </c>
    </row>
    <row r="138" spans="2:16">
      <c r="B138" s="43" t="s">
        <v>2880</v>
      </c>
      <c r="C138" s="44" t="s">
        <v>2878</v>
      </c>
      <c r="D138" s="46"/>
    </row>
    <row r="139" spans="2:16">
      <c r="B139" s="47" t="s">
        <v>4833</v>
      </c>
      <c r="C139" s="41" t="s">
        <v>4834</v>
      </c>
      <c r="D139" s="51"/>
    </row>
    <row r="140" spans="2:16">
      <c r="B140" s="47" t="s">
        <v>4835</v>
      </c>
      <c r="C140" s="41" t="s">
        <v>4836</v>
      </c>
      <c r="D140" s="51"/>
    </row>
    <row r="141" spans="2:16">
      <c r="B141" s="47" t="s">
        <v>4837</v>
      </c>
      <c r="C141" s="41" t="s">
        <v>2885</v>
      </c>
      <c r="D141" s="51"/>
    </row>
    <row r="142" spans="2:16">
      <c r="B142" s="47" t="s">
        <v>4838</v>
      </c>
      <c r="C142" s="41" t="s">
        <v>2887</v>
      </c>
      <c r="D142" s="51"/>
    </row>
    <row r="143" spans="2:16">
      <c r="B143" s="47" t="s">
        <v>4839</v>
      </c>
      <c r="C143" s="41" t="s">
        <v>2889</v>
      </c>
      <c r="D143" s="51"/>
    </row>
    <row r="145" spans="2:16">
      <c r="O145" s="13" t="str">
        <f>Show!$B$136&amp;Show!$B$136&amp;"S.26.01.04.03 Rows {"&amp;COLUMN($C$1)&amp;"}"</f>
        <v>!!S.26.01.04.03 Rows {3}</v>
      </c>
      <c r="P145" s="13" t="str">
        <f>Show!$B$136&amp;Show!$B$136&amp;"S.26.01.04.03 Columns {"&amp;COLUMN($D$1)&amp;"}"</f>
        <v>!!S.26.01.04.03 Columns {4}</v>
      </c>
    </row>
    <row r="147" spans="2:16" ht="18.75">
      <c r="B147" s="88" t="s">
        <v>4843</v>
      </c>
      <c r="C147" s="87"/>
      <c r="D147" s="87"/>
      <c r="E147" s="87"/>
      <c r="F147" s="87"/>
      <c r="G147" s="87"/>
      <c r="H147" s="87"/>
      <c r="I147" s="87"/>
      <c r="J147" s="87"/>
      <c r="K147" s="87"/>
      <c r="L147" s="87"/>
    </row>
    <row r="149" spans="2:16">
      <c r="B149" t="s">
        <v>3110</v>
      </c>
      <c r="O149" s="13" t="str">
        <f>Show!$B$136&amp;"S.26.01.04.04 Table label {"&amp;COLUMN($C$1)&amp;"}"</f>
        <v>!S.26.01.04.04 Table label {3}</v>
      </c>
      <c r="P149" s="13" t="str">
        <f>Show!$B$136&amp;"S.26.01.04.04 Table value {"&amp;COLUMN($D$1)&amp;"}"</f>
        <v>!S.26.01.04.04 Table value {4}</v>
      </c>
    </row>
    <row r="150" spans="2:16">
      <c r="B150" t="s">
        <v>3111</v>
      </c>
    </row>
    <row r="151" spans="2:16">
      <c r="B151" s="40" t="s">
        <v>4622</v>
      </c>
      <c r="C151" s="53" t="s">
        <v>3113</v>
      </c>
      <c r="D151" s="51"/>
    </row>
    <row r="152" spans="2:16">
      <c r="O152" s="13" t="str">
        <f>Show!$B$136&amp;Show!$B$136&amp;"S.26.01.04.04 Table label {"&amp;COLUMN($C$1)&amp;"}"</f>
        <v>!!S.26.01.04.04 Table label {3}</v>
      </c>
      <c r="P152" s="13" t="str">
        <f>Show!$B$136&amp;Show!$B$136&amp;"S.26.01.04.04 Table value {"&amp;COLUMN($D$1)&amp;"}"</f>
        <v>!!S.26.01.04.04 Table value {4}</v>
      </c>
    </row>
    <row r="154" spans="2:16">
      <c r="D154" s="89" t="s">
        <v>2877</v>
      </c>
    </row>
    <row r="155" spans="2:16">
      <c r="D155" s="90"/>
    </row>
    <row r="156" spans="2:16">
      <c r="D156" s="91"/>
    </row>
    <row r="157" spans="2:16">
      <c r="D157" s="45" t="s">
        <v>3236</v>
      </c>
      <c r="O157" s="13" t="str">
        <f>Show!$B$136&amp;"S.26.01.04.04 Rows {"&amp;COLUMN($C$1)&amp;"}"&amp;"@ForceFilingCode:true"</f>
        <v>!S.26.01.04.04 Rows {3}@ForceFilingCode:true</v>
      </c>
      <c r="P157" s="13" t="str">
        <f>Show!$B$136&amp;"S.26.01.04.04 Columns {"&amp;COLUMN($D$1)&amp;"}"</f>
        <v>!S.26.01.04.04 Columns {4}</v>
      </c>
    </row>
    <row r="158" spans="2:16">
      <c r="B158" s="43" t="s">
        <v>2880</v>
      </c>
      <c r="C158" s="44" t="s">
        <v>2878</v>
      </c>
      <c r="D158" s="46"/>
    </row>
    <row r="159" spans="2:16">
      <c r="B159" s="47" t="s">
        <v>4844</v>
      </c>
      <c r="C159" s="41" t="s">
        <v>3122</v>
      </c>
      <c r="D159" s="51"/>
    </row>
    <row r="161" spans="15:16">
      <c r="O161" s="13" t="str">
        <f>Show!$B$136&amp;Show!$B$136&amp;"S.26.01.04.04 Rows {"&amp;COLUMN($C$1)&amp;"}"</f>
        <v>!!S.26.01.04.04 Rows {3}</v>
      </c>
      <c r="P161" s="13" t="str">
        <f>Show!$B$136&amp;Show!$B$136&amp;"S.26.01.04.04 Columns {"&amp;COLUMN($D$1)&amp;"}"</f>
        <v>!!S.26.01.04.04 Columns {4}</v>
      </c>
    </row>
  </sheetData>
  <sheetProtection sheet="1" objects="1" scenarios="1"/>
  <mergeCells count="19">
    <mergeCell ref="D15:D16"/>
    <mergeCell ref="E15:E16"/>
    <mergeCell ref="F15:F16"/>
    <mergeCell ref="G15:G16"/>
    <mergeCell ref="H15:H16"/>
    <mergeCell ref="B2:O2"/>
    <mergeCell ref="B5:L5"/>
    <mergeCell ref="D12:H13"/>
    <mergeCell ref="D14:E14"/>
    <mergeCell ref="F14:H14"/>
    <mergeCell ref="D134:D135"/>
    <mergeCell ref="B147:L147"/>
    <mergeCell ref="D154:D156"/>
    <mergeCell ref="B66:L66"/>
    <mergeCell ref="D73:E74"/>
    <mergeCell ref="D75:E75"/>
    <mergeCell ref="D76:D77"/>
    <mergeCell ref="E76:E77"/>
    <mergeCell ref="B127:L127"/>
  </mergeCells>
  <dataValidations count="4">
    <dataValidation type="list" errorStyle="warning" allowBlank="1" showInputMessage="1" showErrorMessage="1" sqref="D9 D70 D131 D151" xr:uid="{B705330F-F146-48AE-B0D6-4E915200352C}">
      <formula1>hier_AO_1</formula1>
    </dataValidation>
    <dataValidation type="list" errorStyle="warning" allowBlank="1" showInputMessage="1" showErrorMessage="1" sqref="D140" xr:uid="{6A2A2A1F-D069-4D75-8C43-791CDCB33842}">
      <formula1>hier_AP_25</formula1>
    </dataValidation>
    <dataValidation type="list" errorStyle="warning" allowBlank="1" showInputMessage="1" showErrorMessage="1" sqref="D141 D142 D143" xr:uid="{BD3347E5-B051-460E-8A2F-9703B98D318C}">
      <formula1>hier_AP_17</formula1>
    </dataValidation>
    <dataValidation type="list" errorStyle="warning" allowBlank="1" showInputMessage="1" showErrorMessage="1" sqref="D159" xr:uid="{256E4F2F-9607-45BE-B69A-B6639BE2DE68}">
      <formula1>hier_CU_5</formula1>
    </dataValidation>
  </dataValidations>
  <pageMargins left="0.7" right="0.7" top="0.75" bottom="0.75" header="0.3" footer="0.3"/>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DAE36-DB47-4C6B-886D-A0C00ECAB20D}">
  <sheetPr codeName="Blad141"/>
  <dimension ref="B2:P151"/>
  <sheetViews>
    <sheetView showGridLines="0" workbookViewId="0"/>
  </sheetViews>
  <sheetFormatPr defaultRowHeight="15"/>
  <cols>
    <col min="2" max="2" width="85.140625" bestFit="1" customWidth="1"/>
    <col min="4" max="4" width="40.7109375" customWidth="1"/>
    <col min="5" max="8" width="15.7109375" customWidth="1"/>
  </cols>
  <sheetData>
    <row r="2" spans="2:16" ht="23.25">
      <c r="B2" s="86" t="s">
        <v>714</v>
      </c>
      <c r="C2" s="87"/>
      <c r="D2" s="87"/>
      <c r="E2" s="87"/>
      <c r="F2" s="87"/>
      <c r="G2" s="87"/>
      <c r="H2" s="87"/>
      <c r="I2" s="87"/>
      <c r="J2" s="87"/>
      <c r="K2" s="87"/>
      <c r="L2" s="87"/>
      <c r="M2" s="87"/>
      <c r="N2" s="87"/>
      <c r="O2" s="87"/>
    </row>
    <row r="5" spans="2:16" ht="18.75">
      <c r="B5" s="88" t="s">
        <v>4845</v>
      </c>
      <c r="C5" s="87"/>
      <c r="D5" s="87"/>
      <c r="E5" s="87"/>
      <c r="F5" s="87"/>
      <c r="G5" s="87"/>
      <c r="H5" s="87"/>
      <c r="I5" s="87"/>
      <c r="J5" s="87"/>
      <c r="K5" s="87"/>
      <c r="L5" s="87"/>
    </row>
    <row r="7" spans="2:16">
      <c r="B7" t="s">
        <v>3110</v>
      </c>
      <c r="O7" s="13" t="str">
        <f>Show!$B$137&amp;"SR.26.01.01.01 Table label {"&amp;COLUMN($C$1)&amp;"}"</f>
        <v>!SR.26.01.01.01 Table label {3}</v>
      </c>
      <c r="P7" s="13" t="str">
        <f>Show!$B$137&amp;"SR.26.01.01.01 Table value {"&amp;COLUMN($D$1)&amp;"}"</f>
        <v>!SR.26.01.01.01 Table value {4}</v>
      </c>
    </row>
    <row r="8" spans="2:16">
      <c r="B8" t="s">
        <v>3111</v>
      </c>
    </row>
    <row r="9" spans="2:16">
      <c r="B9" s="40" t="s">
        <v>4622</v>
      </c>
      <c r="C9" s="53" t="s">
        <v>3113</v>
      </c>
      <c r="D9" s="51"/>
    </row>
    <row r="10" spans="2:16">
      <c r="B10" s="40" t="s">
        <v>3788</v>
      </c>
      <c r="C10" s="53" t="s">
        <v>3115</v>
      </c>
      <c r="D10" s="51"/>
    </row>
    <row r="11" spans="2:16">
      <c r="B11" s="40" t="s">
        <v>3114</v>
      </c>
      <c r="C11" s="53" t="s">
        <v>3323</v>
      </c>
      <c r="D11" s="50"/>
    </row>
    <row r="12" spans="2:16">
      <c r="O12" s="13" t="str">
        <f>Show!$B$137&amp;Show!$B$137&amp;"SR.26.01.01.01 Table label {"&amp;COLUMN($C$1)&amp;"}"</f>
        <v>!!SR.26.01.01.01 Table label {3}</v>
      </c>
      <c r="P12" s="13" t="str">
        <f>Show!$B$137&amp;Show!$B$137&amp;"SR.26.01.01.01 Table value {"&amp;COLUMN($D$1)&amp;"}"</f>
        <v>!!SR.26.01.01.01 Table value {4}</v>
      </c>
    </row>
    <row r="14" spans="2:16">
      <c r="D14" s="92" t="s">
        <v>2877</v>
      </c>
      <c r="E14" s="93"/>
      <c r="F14" s="93"/>
      <c r="G14" s="93"/>
      <c r="H14" s="94"/>
    </row>
    <row r="15" spans="2:16">
      <c r="D15" s="95"/>
      <c r="E15" s="96"/>
      <c r="F15" s="96"/>
      <c r="G15" s="96"/>
      <c r="H15" s="97"/>
    </row>
    <row r="16" spans="2:16">
      <c r="D16" s="98" t="s">
        <v>4763</v>
      </c>
      <c r="E16" s="99"/>
      <c r="F16" s="98" t="s">
        <v>4764</v>
      </c>
      <c r="G16" s="100"/>
      <c r="H16" s="99"/>
    </row>
    <row r="17" spans="2:16">
      <c r="D17" s="89" t="s">
        <v>3252</v>
      </c>
      <c r="E17" s="89" t="s">
        <v>2389</v>
      </c>
      <c r="F17" s="89" t="s">
        <v>3252</v>
      </c>
      <c r="G17" s="89" t="s">
        <v>4765</v>
      </c>
      <c r="H17" s="89" t="s">
        <v>4766</v>
      </c>
    </row>
    <row r="18" spans="2:16">
      <c r="D18" s="91"/>
      <c r="E18" s="91"/>
      <c r="F18" s="91"/>
      <c r="G18" s="91"/>
      <c r="H18" s="91"/>
    </row>
    <row r="19" spans="2:16">
      <c r="D19" s="45" t="s">
        <v>3219</v>
      </c>
      <c r="E19" s="45" t="s">
        <v>3225</v>
      </c>
      <c r="F19" s="45" t="s">
        <v>3223</v>
      </c>
      <c r="G19" s="45" t="s">
        <v>3229</v>
      </c>
      <c r="H19" s="45" t="s">
        <v>3233</v>
      </c>
      <c r="O19" s="13" t="str">
        <f>Show!$B$137&amp;"SR.26.01.01.01 Rows {"&amp;COLUMN($C$1)&amp;"}"&amp;"@ForceFilingCode:true"</f>
        <v>!SR.26.01.01.01 Rows {3}@ForceFilingCode:true</v>
      </c>
      <c r="P19" s="13" t="str">
        <f>Show!$B$137&amp;"SR.26.01.01.01 Columns {"&amp;COLUMN($D$1)&amp;"}"</f>
        <v>!SR.26.01.01.01 Columns {4}</v>
      </c>
    </row>
    <row r="20" spans="2:16">
      <c r="B20" s="43" t="s">
        <v>2880</v>
      </c>
      <c r="C20" s="44" t="s">
        <v>2878</v>
      </c>
      <c r="D20" s="58"/>
      <c r="E20" s="67"/>
      <c r="F20" s="67"/>
      <c r="G20" s="67"/>
      <c r="H20" s="59"/>
    </row>
    <row r="21" spans="2:16">
      <c r="B21" s="47" t="s">
        <v>4767</v>
      </c>
      <c r="C21" s="44" t="s">
        <v>2899</v>
      </c>
      <c r="D21" s="56"/>
      <c r="E21" s="56"/>
      <c r="F21" s="56"/>
      <c r="G21" s="56"/>
      <c r="H21" s="46"/>
    </row>
    <row r="22" spans="2:16">
      <c r="B22" s="49" t="s">
        <v>4768</v>
      </c>
      <c r="C22" s="41" t="s">
        <v>2901</v>
      </c>
      <c r="D22" s="60"/>
      <c r="E22" s="60"/>
      <c r="F22" s="60"/>
      <c r="G22" s="60"/>
      <c r="H22" s="60"/>
    </row>
    <row r="23" spans="2:16">
      <c r="B23" s="49" t="s">
        <v>4769</v>
      </c>
      <c r="C23" s="41" t="s">
        <v>2903</v>
      </c>
      <c r="D23" s="63"/>
      <c r="E23" s="63"/>
      <c r="F23" s="63"/>
      <c r="G23" s="63"/>
      <c r="H23" s="63"/>
    </row>
    <row r="24" spans="2:16">
      <c r="B24" s="47" t="s">
        <v>4770</v>
      </c>
      <c r="C24" s="44" t="s">
        <v>2919</v>
      </c>
      <c r="D24" s="56"/>
      <c r="E24" s="56"/>
      <c r="F24" s="56"/>
      <c r="G24" s="56"/>
      <c r="H24" s="46"/>
    </row>
    <row r="25" spans="2:16">
      <c r="B25" s="49" t="s">
        <v>4771</v>
      </c>
      <c r="C25" s="41" t="s">
        <v>2921</v>
      </c>
      <c r="D25" s="60"/>
      <c r="E25" s="63"/>
      <c r="F25" s="60"/>
      <c r="G25" s="63"/>
      <c r="H25" s="63"/>
    </row>
    <row r="26" spans="2:16">
      <c r="B26" s="61" t="s">
        <v>4772</v>
      </c>
      <c r="C26" s="41" t="s">
        <v>4773</v>
      </c>
      <c r="D26" s="64"/>
      <c r="E26" s="48"/>
      <c r="F26" s="64"/>
      <c r="G26" s="58"/>
      <c r="H26" s="48"/>
    </row>
    <row r="27" spans="2:16">
      <c r="B27" s="61" t="s">
        <v>4774</v>
      </c>
      <c r="C27" s="41" t="s">
        <v>2925</v>
      </c>
      <c r="D27" s="64"/>
      <c r="E27" s="48"/>
      <c r="F27" s="64"/>
      <c r="G27" s="58"/>
      <c r="H27" s="48"/>
    </row>
    <row r="28" spans="2:16">
      <c r="B28" s="61" t="s">
        <v>4775</v>
      </c>
      <c r="C28" s="41" t="s">
        <v>4776</v>
      </c>
      <c r="D28" s="64"/>
      <c r="E28" s="48"/>
      <c r="F28" s="64"/>
      <c r="G28" s="58"/>
      <c r="H28" s="48"/>
    </row>
    <row r="29" spans="2:16">
      <c r="B29" s="61" t="s">
        <v>4777</v>
      </c>
      <c r="C29" s="41" t="s">
        <v>2927</v>
      </c>
      <c r="D29" s="64"/>
      <c r="E29" s="46"/>
      <c r="F29" s="64"/>
      <c r="G29" s="56"/>
      <c r="H29" s="46"/>
    </row>
    <row r="30" spans="2:16">
      <c r="B30" s="49" t="s">
        <v>4778</v>
      </c>
      <c r="C30" s="41" t="s">
        <v>2929</v>
      </c>
      <c r="D30" s="60"/>
      <c r="E30" s="63"/>
      <c r="F30" s="60"/>
      <c r="G30" s="63"/>
      <c r="H30" s="63"/>
    </row>
    <row r="31" spans="2:16">
      <c r="B31" s="61" t="s">
        <v>4779</v>
      </c>
      <c r="C31" s="41" t="s">
        <v>4780</v>
      </c>
      <c r="D31" s="64"/>
      <c r="E31" s="48"/>
      <c r="F31" s="64"/>
      <c r="G31" s="58"/>
      <c r="H31" s="48"/>
    </row>
    <row r="32" spans="2:16">
      <c r="B32" s="61" t="s">
        <v>4781</v>
      </c>
      <c r="C32" s="41" t="s">
        <v>2933</v>
      </c>
      <c r="D32" s="64"/>
      <c r="E32" s="48"/>
      <c r="F32" s="64"/>
      <c r="G32" s="58"/>
      <c r="H32" s="48"/>
    </row>
    <row r="33" spans="2:8">
      <c r="B33" s="61" t="s">
        <v>4782</v>
      </c>
      <c r="C33" s="41" t="s">
        <v>4783</v>
      </c>
      <c r="D33" s="64"/>
      <c r="E33" s="48"/>
      <c r="F33" s="64"/>
      <c r="G33" s="58"/>
      <c r="H33" s="48"/>
    </row>
    <row r="34" spans="2:8">
      <c r="B34" s="61" t="s">
        <v>4784</v>
      </c>
      <c r="C34" s="41" t="s">
        <v>2935</v>
      </c>
      <c r="D34" s="64"/>
      <c r="E34" s="46"/>
      <c r="F34" s="64"/>
      <c r="G34" s="56"/>
      <c r="H34" s="46"/>
    </row>
    <row r="35" spans="2:8">
      <c r="B35" s="49" t="s">
        <v>4785</v>
      </c>
      <c r="C35" s="41" t="s">
        <v>4786</v>
      </c>
      <c r="D35" s="60"/>
      <c r="E35" s="63"/>
      <c r="F35" s="60"/>
      <c r="G35" s="63"/>
      <c r="H35" s="63"/>
    </row>
    <row r="36" spans="2:8">
      <c r="B36" s="61" t="s">
        <v>4787</v>
      </c>
      <c r="C36" s="41" t="s">
        <v>4788</v>
      </c>
      <c r="D36" s="64"/>
      <c r="E36" s="48"/>
      <c r="F36" s="64"/>
      <c r="G36" s="58"/>
      <c r="H36" s="48"/>
    </row>
    <row r="37" spans="2:8">
      <c r="B37" s="61" t="s">
        <v>4789</v>
      </c>
      <c r="C37" s="41" t="s">
        <v>4790</v>
      </c>
      <c r="D37" s="64"/>
      <c r="E37" s="48"/>
      <c r="F37" s="64"/>
      <c r="G37" s="58"/>
      <c r="H37" s="48"/>
    </row>
    <row r="38" spans="2:8">
      <c r="B38" s="61" t="s">
        <v>4791</v>
      </c>
      <c r="C38" s="41" t="s">
        <v>4792</v>
      </c>
      <c r="D38" s="64"/>
      <c r="E38" s="46"/>
      <c r="F38" s="64"/>
      <c r="G38" s="56"/>
      <c r="H38" s="46"/>
    </row>
    <row r="39" spans="2:8">
      <c r="B39" s="49" t="s">
        <v>4793</v>
      </c>
      <c r="C39" s="41" t="s">
        <v>4794</v>
      </c>
      <c r="D39" s="60"/>
      <c r="E39" s="63"/>
      <c r="F39" s="60"/>
      <c r="G39" s="63"/>
      <c r="H39" s="63"/>
    </row>
    <row r="40" spans="2:8" ht="30">
      <c r="B40" s="61" t="s">
        <v>4795</v>
      </c>
      <c r="C40" s="41" t="s">
        <v>4796</v>
      </c>
      <c r="D40" s="64"/>
      <c r="E40" s="48"/>
      <c r="F40" s="64"/>
      <c r="G40" s="58"/>
      <c r="H40" s="48"/>
    </row>
    <row r="41" spans="2:8">
      <c r="B41" s="61" t="s">
        <v>4797</v>
      </c>
      <c r="C41" s="41" t="s">
        <v>4798</v>
      </c>
      <c r="D41" s="64"/>
      <c r="E41" s="48"/>
      <c r="F41" s="64"/>
      <c r="G41" s="58"/>
      <c r="H41" s="48"/>
    </row>
    <row r="42" spans="2:8">
      <c r="B42" s="61" t="s">
        <v>4799</v>
      </c>
      <c r="C42" s="41" t="s">
        <v>4800</v>
      </c>
      <c r="D42" s="64"/>
      <c r="E42" s="46"/>
      <c r="F42" s="64"/>
      <c r="G42" s="56"/>
      <c r="H42" s="46"/>
    </row>
    <row r="43" spans="2:8">
      <c r="B43" s="47" t="s">
        <v>4801</v>
      </c>
      <c r="C43" s="41" t="s">
        <v>2939</v>
      </c>
      <c r="D43" s="63"/>
      <c r="E43" s="63"/>
      <c r="F43" s="63"/>
      <c r="G43" s="63"/>
      <c r="H43" s="63"/>
    </row>
    <row r="44" spans="2:8">
      <c r="B44" s="47" t="s">
        <v>4802</v>
      </c>
      <c r="C44" s="44" t="s">
        <v>2959</v>
      </c>
      <c r="D44" s="56"/>
      <c r="E44" s="56"/>
      <c r="F44" s="56"/>
      <c r="G44" s="56"/>
      <c r="H44" s="46"/>
    </row>
    <row r="45" spans="2:8">
      <c r="B45" s="49" t="s">
        <v>4803</v>
      </c>
      <c r="C45" s="41" t="s">
        <v>2961</v>
      </c>
      <c r="D45" s="60"/>
      <c r="E45" s="60"/>
      <c r="F45" s="60"/>
      <c r="G45" s="60"/>
      <c r="H45" s="60"/>
    </row>
    <row r="46" spans="2:8">
      <c r="B46" s="61" t="s">
        <v>4804</v>
      </c>
      <c r="C46" s="41" t="s">
        <v>4805</v>
      </c>
      <c r="D46" s="60"/>
      <c r="E46" s="60"/>
      <c r="F46" s="60"/>
      <c r="G46" s="60"/>
      <c r="H46" s="60"/>
    </row>
    <row r="47" spans="2:8" ht="30">
      <c r="B47" s="61" t="s">
        <v>4806</v>
      </c>
      <c r="C47" s="41" t="s">
        <v>4807</v>
      </c>
      <c r="D47" s="60"/>
      <c r="E47" s="60"/>
      <c r="F47" s="60"/>
      <c r="G47" s="60"/>
      <c r="H47" s="60"/>
    </row>
    <row r="48" spans="2:8" ht="30">
      <c r="B48" s="61" t="s">
        <v>4808</v>
      </c>
      <c r="C48" s="41" t="s">
        <v>4809</v>
      </c>
      <c r="D48" s="63"/>
      <c r="E48" s="63"/>
      <c r="F48" s="63"/>
      <c r="G48" s="63"/>
      <c r="H48" s="63"/>
    </row>
    <row r="49" spans="2:8">
      <c r="B49" s="49" t="s">
        <v>4810</v>
      </c>
      <c r="C49" s="44" t="s">
        <v>2963</v>
      </c>
      <c r="D49" s="56"/>
      <c r="E49" s="56"/>
      <c r="F49" s="56"/>
      <c r="G49" s="56"/>
      <c r="H49" s="46"/>
    </row>
    <row r="50" spans="2:8">
      <c r="B50" s="61" t="s">
        <v>4811</v>
      </c>
      <c r="C50" s="41" t="s">
        <v>2965</v>
      </c>
      <c r="D50" s="60"/>
      <c r="E50" s="60"/>
      <c r="F50" s="60"/>
      <c r="G50" s="60"/>
      <c r="H50" s="60"/>
    </row>
    <row r="51" spans="2:8">
      <c r="B51" s="61" t="s">
        <v>4812</v>
      </c>
      <c r="C51" s="41" t="s">
        <v>2967</v>
      </c>
      <c r="D51" s="60"/>
      <c r="E51" s="60"/>
      <c r="F51" s="60"/>
      <c r="G51" s="60"/>
      <c r="H51" s="60"/>
    </row>
    <row r="52" spans="2:8">
      <c r="B52" s="49" t="s">
        <v>4813</v>
      </c>
      <c r="C52" s="41" t="s">
        <v>2969</v>
      </c>
      <c r="D52" s="60"/>
      <c r="E52" s="60"/>
      <c r="F52" s="60"/>
      <c r="G52" s="60"/>
      <c r="H52" s="60"/>
    </row>
    <row r="53" spans="2:8">
      <c r="B53" s="61" t="s">
        <v>4814</v>
      </c>
      <c r="C53" s="41" t="s">
        <v>4815</v>
      </c>
      <c r="D53" s="60"/>
      <c r="E53" s="60"/>
      <c r="F53" s="60"/>
      <c r="G53" s="60"/>
      <c r="H53" s="60"/>
    </row>
    <row r="54" spans="2:8">
      <c r="B54" s="61" t="s">
        <v>4816</v>
      </c>
      <c r="C54" s="41" t="s">
        <v>4817</v>
      </c>
      <c r="D54" s="60"/>
      <c r="E54" s="60"/>
      <c r="F54" s="60"/>
      <c r="G54" s="60"/>
      <c r="H54" s="60"/>
    </row>
    <row r="55" spans="2:8">
      <c r="B55" s="61" t="s">
        <v>4818</v>
      </c>
      <c r="C55" s="41" t="s">
        <v>2975</v>
      </c>
      <c r="D55" s="60"/>
      <c r="E55" s="60"/>
      <c r="F55" s="60"/>
      <c r="G55" s="60"/>
      <c r="H55" s="60"/>
    </row>
    <row r="56" spans="2:8">
      <c r="B56" s="61" t="s">
        <v>4819</v>
      </c>
      <c r="C56" s="41" t="s">
        <v>4820</v>
      </c>
      <c r="D56" s="60"/>
      <c r="E56" s="60"/>
      <c r="F56" s="60"/>
      <c r="G56" s="60"/>
      <c r="H56" s="60"/>
    </row>
    <row r="57" spans="2:8">
      <c r="B57" s="61" t="s">
        <v>4821</v>
      </c>
      <c r="C57" s="41" t="s">
        <v>4822</v>
      </c>
      <c r="D57" s="60"/>
      <c r="E57" s="60"/>
      <c r="F57" s="60"/>
      <c r="G57" s="60"/>
      <c r="H57" s="60"/>
    </row>
    <row r="58" spans="2:8">
      <c r="B58" s="61" t="s">
        <v>4823</v>
      </c>
      <c r="C58" s="41" t="s">
        <v>4824</v>
      </c>
      <c r="D58" s="60"/>
      <c r="E58" s="63"/>
      <c r="F58" s="63"/>
      <c r="G58" s="63"/>
      <c r="H58" s="63"/>
    </row>
    <row r="59" spans="2:8">
      <c r="B59" s="47" t="s">
        <v>4825</v>
      </c>
      <c r="C59" s="41" t="s">
        <v>2977</v>
      </c>
      <c r="D59" s="65"/>
      <c r="E59" s="58"/>
      <c r="F59" s="58"/>
      <c r="G59" s="58"/>
      <c r="H59" s="48"/>
    </row>
    <row r="60" spans="2:8">
      <c r="B60" s="47" t="s">
        <v>4826</v>
      </c>
      <c r="C60" s="44" t="s">
        <v>2997</v>
      </c>
      <c r="D60" s="56"/>
      <c r="E60" s="56"/>
      <c r="F60" s="56"/>
      <c r="G60" s="56"/>
      <c r="H60" s="46"/>
    </row>
    <row r="61" spans="2:8">
      <c r="B61" s="49" t="s">
        <v>4827</v>
      </c>
      <c r="C61" s="41" t="s">
        <v>2999</v>
      </c>
      <c r="D61" s="60"/>
      <c r="E61" s="60"/>
      <c r="F61" s="60"/>
      <c r="G61" s="60"/>
      <c r="H61" s="60"/>
    </row>
    <row r="62" spans="2:8">
      <c r="B62" s="49" t="s">
        <v>4828</v>
      </c>
      <c r="C62" s="41" t="s">
        <v>3001</v>
      </c>
      <c r="D62" s="63"/>
      <c r="E62" s="63"/>
      <c r="F62" s="63"/>
      <c r="G62" s="63"/>
      <c r="H62" s="63"/>
    </row>
    <row r="63" spans="2:8">
      <c r="B63" s="47" t="s">
        <v>4829</v>
      </c>
      <c r="C63" s="44" t="s">
        <v>3064</v>
      </c>
      <c r="D63" s="58"/>
      <c r="E63" s="58"/>
      <c r="F63" s="58"/>
      <c r="G63" s="58"/>
      <c r="H63" s="48"/>
    </row>
    <row r="64" spans="2:8">
      <c r="B64" s="47" t="s">
        <v>4830</v>
      </c>
      <c r="C64" s="44" t="s">
        <v>3120</v>
      </c>
      <c r="D64" s="56"/>
      <c r="E64" s="56"/>
      <c r="F64" s="56"/>
      <c r="G64" s="56"/>
      <c r="H64" s="46"/>
    </row>
    <row r="66" spans="2:16">
      <c r="O66" s="13" t="str">
        <f>Show!$B$137&amp;Show!$B$137&amp;"SR.26.01.01.01 Rows {"&amp;COLUMN($C$1)&amp;"}"</f>
        <v>!!SR.26.01.01.01 Rows {3}</v>
      </c>
      <c r="P66" s="13" t="str">
        <f>Show!$B$137&amp;Show!$B$137&amp;"SR.26.01.01.01 Columns {"&amp;COLUMN($H$1)&amp;"}"</f>
        <v>!!SR.26.01.01.01 Columns {8}</v>
      </c>
    </row>
    <row r="68" spans="2:16" ht="18.75">
      <c r="B68" s="88" t="s">
        <v>4846</v>
      </c>
      <c r="C68" s="87"/>
      <c r="D68" s="87"/>
      <c r="E68" s="87"/>
      <c r="F68" s="87"/>
      <c r="G68" s="87"/>
      <c r="H68" s="87"/>
      <c r="I68" s="87"/>
      <c r="J68" s="87"/>
      <c r="K68" s="87"/>
      <c r="L68" s="87"/>
    </row>
    <row r="70" spans="2:16">
      <c r="B70" t="s">
        <v>3110</v>
      </c>
      <c r="O70" s="13" t="str">
        <f>Show!$B$137&amp;"SR.26.01.01.02 Table label {"&amp;COLUMN($C$1)&amp;"}"</f>
        <v>!SR.26.01.01.02 Table label {3}</v>
      </c>
      <c r="P70" s="13" t="str">
        <f>Show!$B$137&amp;"SR.26.01.01.02 Table value {"&amp;COLUMN($D$1)&amp;"}"</f>
        <v>!SR.26.01.01.02 Table value {4}</v>
      </c>
    </row>
    <row r="71" spans="2:16">
      <c r="B71" t="s">
        <v>3111</v>
      </c>
    </row>
    <row r="72" spans="2:16">
      <c r="B72" s="40" t="s">
        <v>4622</v>
      </c>
      <c r="C72" s="53" t="s">
        <v>3113</v>
      </c>
      <c r="D72" s="51"/>
    </row>
    <row r="73" spans="2:16">
      <c r="B73" s="40" t="s">
        <v>3788</v>
      </c>
      <c r="C73" s="53" t="s">
        <v>3115</v>
      </c>
      <c r="D73" s="51"/>
    </row>
    <row r="74" spans="2:16">
      <c r="B74" s="40" t="s">
        <v>3114</v>
      </c>
      <c r="C74" s="53" t="s">
        <v>3323</v>
      </c>
      <c r="D74" s="50"/>
    </row>
    <row r="75" spans="2:16">
      <c r="O75" s="13" t="str">
        <f>Show!$B$137&amp;Show!$B$137&amp;"SR.26.01.01.02 Table label {"&amp;COLUMN($C$1)&amp;"}"</f>
        <v>!!SR.26.01.01.02 Table label {3}</v>
      </c>
      <c r="P75" s="13" t="str">
        <f>Show!$B$137&amp;Show!$B$137&amp;"SR.26.01.01.02 Table value {"&amp;COLUMN($D$1)&amp;"}"</f>
        <v>!!SR.26.01.01.02 Table value {4}</v>
      </c>
    </row>
    <row r="77" spans="2:16">
      <c r="D77" s="92" t="s">
        <v>2877</v>
      </c>
      <c r="E77" s="94"/>
    </row>
    <row r="78" spans="2:16">
      <c r="D78" s="95"/>
      <c r="E78" s="97"/>
    </row>
    <row r="79" spans="2:16">
      <c r="D79" s="98" t="s">
        <v>4764</v>
      </c>
      <c r="E79" s="99"/>
    </row>
    <row r="80" spans="2:16">
      <c r="D80" s="89" t="s">
        <v>4623</v>
      </c>
      <c r="E80" s="89" t="s">
        <v>4624</v>
      </c>
    </row>
    <row r="81" spans="2:16">
      <c r="D81" s="91"/>
      <c r="E81" s="91"/>
    </row>
    <row r="82" spans="2:16">
      <c r="D82" s="45" t="s">
        <v>3231</v>
      </c>
      <c r="E82" s="45" t="s">
        <v>3234</v>
      </c>
      <c r="O82" s="13" t="str">
        <f>Show!$B$137&amp;"SR.26.01.01.02 Rows {"&amp;COLUMN($C$1)&amp;"}"&amp;"@ForceFilingCode:true"</f>
        <v>!SR.26.01.01.02 Rows {3}@ForceFilingCode:true</v>
      </c>
      <c r="P82" s="13" t="str">
        <f>Show!$B$137&amp;"SR.26.01.01.02 Columns {"&amp;COLUMN($D$1)&amp;"}"</f>
        <v>!SR.26.01.01.02 Columns {4}</v>
      </c>
    </row>
    <row r="83" spans="2:16">
      <c r="B83" s="43" t="s">
        <v>2880</v>
      </c>
      <c r="C83" s="44" t="s">
        <v>2878</v>
      </c>
      <c r="D83" s="56"/>
      <c r="E83" s="57"/>
    </row>
    <row r="84" spans="2:16">
      <c r="B84" s="47" t="s">
        <v>4767</v>
      </c>
      <c r="C84" s="41" t="s">
        <v>2899</v>
      </c>
      <c r="D84" s="60"/>
      <c r="E84" s="60"/>
    </row>
    <row r="85" spans="2:16">
      <c r="B85" s="49" t="s">
        <v>4768</v>
      </c>
      <c r="C85" s="41" t="s">
        <v>2901</v>
      </c>
      <c r="D85" s="60"/>
      <c r="E85" s="60"/>
    </row>
    <row r="86" spans="2:16">
      <c r="B86" s="49" t="s">
        <v>4769</v>
      </c>
      <c r="C86" s="41" t="s">
        <v>2903</v>
      </c>
      <c r="D86" s="60"/>
      <c r="E86" s="60"/>
    </row>
    <row r="87" spans="2:16">
      <c r="B87" s="47" t="s">
        <v>4770</v>
      </c>
      <c r="C87" s="41" t="s">
        <v>2919</v>
      </c>
      <c r="D87" s="60"/>
      <c r="E87" s="60"/>
    </row>
    <row r="88" spans="2:16">
      <c r="B88" s="49" t="s">
        <v>4771</v>
      </c>
      <c r="C88" s="41" t="s">
        <v>2921</v>
      </c>
      <c r="D88" s="63"/>
      <c r="E88" s="63"/>
    </row>
    <row r="89" spans="2:16">
      <c r="B89" s="61" t="s">
        <v>4772</v>
      </c>
      <c r="C89" s="44" t="s">
        <v>4773</v>
      </c>
      <c r="D89" s="58"/>
      <c r="E89" s="48"/>
    </row>
    <row r="90" spans="2:16">
      <c r="B90" s="61" t="s">
        <v>4774</v>
      </c>
      <c r="C90" s="44" t="s">
        <v>2925</v>
      </c>
      <c r="D90" s="58"/>
      <c r="E90" s="48"/>
    </row>
    <row r="91" spans="2:16">
      <c r="B91" s="61" t="s">
        <v>4775</v>
      </c>
      <c r="C91" s="44" t="s">
        <v>4776</v>
      </c>
      <c r="D91" s="58"/>
      <c r="E91" s="48"/>
    </row>
    <row r="92" spans="2:16">
      <c r="B92" s="61" t="s">
        <v>4777</v>
      </c>
      <c r="C92" s="44" t="s">
        <v>2927</v>
      </c>
      <c r="D92" s="56"/>
      <c r="E92" s="46"/>
    </row>
    <row r="93" spans="2:16">
      <c r="B93" s="49" t="s">
        <v>4778</v>
      </c>
      <c r="C93" s="41" t="s">
        <v>2929</v>
      </c>
      <c r="D93" s="63"/>
      <c r="E93" s="63"/>
    </row>
    <row r="94" spans="2:16">
      <c r="B94" s="61" t="s">
        <v>4779</v>
      </c>
      <c r="C94" s="44" t="s">
        <v>4780</v>
      </c>
      <c r="D94" s="58"/>
      <c r="E94" s="48"/>
    </row>
    <row r="95" spans="2:16">
      <c r="B95" s="61" t="s">
        <v>4781</v>
      </c>
      <c r="C95" s="44" t="s">
        <v>2933</v>
      </c>
      <c r="D95" s="58"/>
      <c r="E95" s="48"/>
    </row>
    <row r="96" spans="2:16">
      <c r="B96" s="61" t="s">
        <v>4782</v>
      </c>
      <c r="C96" s="44" t="s">
        <v>4783</v>
      </c>
      <c r="D96" s="58"/>
      <c r="E96" s="48"/>
    </row>
    <row r="97" spans="2:5">
      <c r="B97" s="61" t="s">
        <v>4784</v>
      </c>
      <c r="C97" s="44" t="s">
        <v>2935</v>
      </c>
      <c r="D97" s="56"/>
      <c r="E97" s="46"/>
    </row>
    <row r="98" spans="2:5">
      <c r="B98" s="49" t="s">
        <v>4785</v>
      </c>
      <c r="C98" s="41" t="s">
        <v>4786</v>
      </c>
      <c r="D98" s="63"/>
      <c r="E98" s="63"/>
    </row>
    <row r="99" spans="2:5">
      <c r="B99" s="61" t="s">
        <v>4787</v>
      </c>
      <c r="C99" s="44" t="s">
        <v>4788</v>
      </c>
      <c r="D99" s="58"/>
      <c r="E99" s="48"/>
    </row>
    <row r="100" spans="2:5">
      <c r="B100" s="61" t="s">
        <v>4789</v>
      </c>
      <c r="C100" s="44" t="s">
        <v>4790</v>
      </c>
      <c r="D100" s="58"/>
      <c r="E100" s="48"/>
    </row>
    <row r="101" spans="2:5">
      <c r="B101" s="61" t="s">
        <v>4791</v>
      </c>
      <c r="C101" s="44" t="s">
        <v>4792</v>
      </c>
      <c r="D101" s="56"/>
      <c r="E101" s="46"/>
    </row>
    <row r="102" spans="2:5">
      <c r="B102" s="49" t="s">
        <v>4793</v>
      </c>
      <c r="C102" s="41" t="s">
        <v>4794</v>
      </c>
      <c r="D102" s="63"/>
      <c r="E102" s="63"/>
    </row>
    <row r="103" spans="2:5" ht="30">
      <c r="B103" s="61" t="s">
        <v>4795</v>
      </c>
      <c r="C103" s="44" t="s">
        <v>4796</v>
      </c>
      <c r="D103" s="58"/>
      <c r="E103" s="48"/>
    </row>
    <row r="104" spans="2:5">
      <c r="B104" s="61" t="s">
        <v>4797</v>
      </c>
      <c r="C104" s="44" t="s">
        <v>4798</v>
      </c>
      <c r="D104" s="58"/>
      <c r="E104" s="48"/>
    </row>
    <row r="105" spans="2:5">
      <c r="B105" s="61" t="s">
        <v>4799</v>
      </c>
      <c r="C105" s="44" t="s">
        <v>4800</v>
      </c>
      <c r="D105" s="56"/>
      <c r="E105" s="46"/>
    </row>
    <row r="106" spans="2:5">
      <c r="B106" s="47" t="s">
        <v>4801</v>
      </c>
      <c r="C106" s="41" t="s">
        <v>2939</v>
      </c>
      <c r="D106" s="60"/>
      <c r="E106" s="60"/>
    </row>
    <row r="107" spans="2:5">
      <c r="B107" s="47" t="s">
        <v>4802</v>
      </c>
      <c r="C107" s="41" t="s">
        <v>2959</v>
      </c>
      <c r="D107" s="60"/>
      <c r="E107" s="60"/>
    </row>
    <row r="108" spans="2:5">
      <c r="B108" s="49" t="s">
        <v>4803</v>
      </c>
      <c r="C108" s="41" t="s">
        <v>2961</v>
      </c>
      <c r="D108" s="60"/>
      <c r="E108" s="60"/>
    </row>
    <row r="109" spans="2:5">
      <c r="B109" s="61" t="s">
        <v>4804</v>
      </c>
      <c r="C109" s="41" t="s">
        <v>4805</v>
      </c>
      <c r="D109" s="60"/>
      <c r="E109" s="60"/>
    </row>
    <row r="110" spans="2:5" ht="30">
      <c r="B110" s="61" t="s">
        <v>4806</v>
      </c>
      <c r="C110" s="41" t="s">
        <v>4807</v>
      </c>
      <c r="D110" s="60"/>
      <c r="E110" s="60"/>
    </row>
    <row r="111" spans="2:5" ht="30">
      <c r="B111" s="61" t="s">
        <v>4808</v>
      </c>
      <c r="C111" s="41" t="s">
        <v>4809</v>
      </c>
      <c r="D111" s="60"/>
      <c r="E111" s="60"/>
    </row>
    <row r="112" spans="2:5">
      <c r="B112" s="49" t="s">
        <v>4810</v>
      </c>
      <c r="C112" s="41" t="s">
        <v>2963</v>
      </c>
      <c r="D112" s="60"/>
      <c r="E112" s="60"/>
    </row>
    <row r="113" spans="2:5">
      <c r="B113" s="61" t="s">
        <v>4811</v>
      </c>
      <c r="C113" s="41" t="s">
        <v>2965</v>
      </c>
      <c r="D113" s="60"/>
      <c r="E113" s="60"/>
    </row>
    <row r="114" spans="2:5">
      <c r="B114" s="61" t="s">
        <v>4812</v>
      </c>
      <c r="C114" s="41" t="s">
        <v>2967</v>
      </c>
      <c r="D114" s="60"/>
      <c r="E114" s="60"/>
    </row>
    <row r="115" spans="2:5">
      <c r="B115" s="49" t="s">
        <v>4813</v>
      </c>
      <c r="C115" s="41" t="s">
        <v>2969</v>
      </c>
      <c r="D115" s="60"/>
      <c r="E115" s="60"/>
    </row>
    <row r="116" spans="2:5">
      <c r="B116" s="61" t="s">
        <v>4814</v>
      </c>
      <c r="C116" s="41" t="s">
        <v>4815</v>
      </c>
      <c r="D116" s="60"/>
      <c r="E116" s="60"/>
    </row>
    <row r="117" spans="2:5">
      <c r="B117" s="61" t="s">
        <v>4816</v>
      </c>
      <c r="C117" s="41" t="s">
        <v>4817</v>
      </c>
      <c r="D117" s="60"/>
      <c r="E117" s="60"/>
    </row>
    <row r="118" spans="2:5">
      <c r="B118" s="61" t="s">
        <v>4818</v>
      </c>
      <c r="C118" s="41" t="s">
        <v>2975</v>
      </c>
      <c r="D118" s="60"/>
      <c r="E118" s="60"/>
    </row>
    <row r="119" spans="2:5">
      <c r="B119" s="61" t="s">
        <v>4819</v>
      </c>
      <c r="C119" s="41" t="s">
        <v>4820</v>
      </c>
      <c r="D119" s="60"/>
      <c r="E119" s="60"/>
    </row>
    <row r="120" spans="2:5">
      <c r="B120" s="61" t="s">
        <v>4821</v>
      </c>
      <c r="C120" s="41" t="s">
        <v>4822</v>
      </c>
      <c r="D120" s="60"/>
      <c r="E120" s="60"/>
    </row>
    <row r="121" spans="2:5">
      <c r="B121" s="61" t="s">
        <v>4823</v>
      </c>
      <c r="C121" s="41" t="s">
        <v>4824</v>
      </c>
      <c r="D121" s="60"/>
      <c r="E121" s="60"/>
    </row>
    <row r="122" spans="2:5">
      <c r="B122" s="47" t="s">
        <v>4825</v>
      </c>
      <c r="C122" s="41" t="s">
        <v>2977</v>
      </c>
      <c r="D122" s="60"/>
      <c r="E122" s="60"/>
    </row>
    <row r="123" spans="2:5">
      <c r="B123" s="47" t="s">
        <v>4826</v>
      </c>
      <c r="C123" s="41" t="s">
        <v>2997</v>
      </c>
      <c r="D123" s="60"/>
      <c r="E123" s="60"/>
    </row>
    <row r="124" spans="2:5">
      <c r="B124" s="49" t="s">
        <v>4827</v>
      </c>
      <c r="C124" s="41" t="s">
        <v>2999</v>
      </c>
      <c r="D124" s="60"/>
      <c r="E124" s="60"/>
    </row>
    <row r="125" spans="2:5">
      <c r="B125" s="49" t="s">
        <v>4828</v>
      </c>
      <c r="C125" s="41" t="s">
        <v>3001</v>
      </c>
      <c r="D125" s="60"/>
      <c r="E125" s="60"/>
    </row>
    <row r="126" spans="2:5">
      <c r="B126" s="47" t="s">
        <v>4829</v>
      </c>
      <c r="C126" s="41" t="s">
        <v>3064</v>
      </c>
      <c r="D126" s="60"/>
      <c r="E126" s="60"/>
    </row>
    <row r="127" spans="2:5">
      <c r="B127" s="47" t="s">
        <v>4830</v>
      </c>
      <c r="C127" s="41" t="s">
        <v>3120</v>
      </c>
      <c r="D127" s="60"/>
      <c r="E127" s="60"/>
    </row>
    <row r="129" spans="2:16">
      <c r="O129" s="13" t="str">
        <f>Show!$B$137&amp;Show!$B$137&amp;"SR.26.01.01.02 Rows {"&amp;COLUMN($C$1)&amp;"}"</f>
        <v>!!SR.26.01.01.02 Rows {3}</v>
      </c>
      <c r="P129" s="13" t="str">
        <f>Show!$B$137&amp;Show!$B$137&amp;"SR.26.01.01.02 Columns {"&amp;COLUMN($E$1)&amp;"}"</f>
        <v>!!SR.26.01.01.02 Columns {5}</v>
      </c>
    </row>
    <row r="131" spans="2:16" ht="18.75">
      <c r="B131" s="88" t="s">
        <v>4847</v>
      </c>
      <c r="C131" s="87"/>
      <c r="D131" s="87"/>
      <c r="E131" s="87"/>
      <c r="F131" s="87"/>
      <c r="G131" s="87"/>
      <c r="H131" s="87"/>
      <c r="I131" s="87"/>
      <c r="J131" s="87"/>
      <c r="K131" s="87"/>
      <c r="L131" s="87"/>
    </row>
    <row r="133" spans="2:16">
      <c r="B133" t="s">
        <v>3110</v>
      </c>
      <c r="O133" s="13" t="str">
        <f>Show!$B$137&amp;"SR.26.01.01.03 Table label {"&amp;COLUMN($C$1)&amp;"}"</f>
        <v>!SR.26.01.01.03 Table label {3}</v>
      </c>
      <c r="P133" s="13" t="str">
        <f>Show!$B$137&amp;"SR.26.01.01.03 Table value {"&amp;COLUMN($D$1)&amp;"}"</f>
        <v>!SR.26.01.01.03 Table value {4}</v>
      </c>
    </row>
    <row r="134" spans="2:16">
      <c r="B134" t="s">
        <v>3111</v>
      </c>
    </row>
    <row r="135" spans="2:16">
      <c r="B135" s="40" t="s">
        <v>4622</v>
      </c>
      <c r="C135" s="53" t="s">
        <v>3113</v>
      </c>
      <c r="D135" s="51"/>
    </row>
    <row r="136" spans="2:16">
      <c r="B136" s="40" t="s">
        <v>3788</v>
      </c>
      <c r="C136" s="53" t="s">
        <v>3115</v>
      </c>
      <c r="D136" s="51"/>
    </row>
    <row r="137" spans="2:16">
      <c r="B137" s="40" t="s">
        <v>3114</v>
      </c>
      <c r="C137" s="53" t="s">
        <v>3323</v>
      </c>
      <c r="D137" s="50"/>
    </row>
    <row r="138" spans="2:16">
      <c r="O138" s="13" t="str">
        <f>Show!$B$137&amp;Show!$B$137&amp;"SR.26.01.01.03 Table label {"&amp;COLUMN($C$1)&amp;"}"</f>
        <v>!!SR.26.01.01.03 Table label {3}</v>
      </c>
      <c r="P138" s="13" t="str">
        <f>Show!$B$137&amp;Show!$B$137&amp;"SR.26.01.01.03 Table value {"&amp;COLUMN($D$1)&amp;"}"</f>
        <v>!!SR.26.01.01.03 Table value {4}</v>
      </c>
    </row>
    <row r="140" spans="2:16">
      <c r="D140" s="89" t="s">
        <v>2877</v>
      </c>
    </row>
    <row r="141" spans="2:16">
      <c r="D141" s="91"/>
    </row>
    <row r="142" spans="2:16">
      <c r="D142" s="55" t="s">
        <v>2574</v>
      </c>
    </row>
    <row r="143" spans="2:16">
      <c r="D143" s="45" t="s">
        <v>2879</v>
      </c>
      <c r="O143" s="13" t="str">
        <f>Show!$B$137&amp;"SR.26.01.01.03 Rows {"&amp;COLUMN($C$1)&amp;"}"&amp;"@ForceFilingCode:true"</f>
        <v>!SR.26.01.01.03 Rows {3}@ForceFilingCode:true</v>
      </c>
      <c r="P143" s="13" t="str">
        <f>Show!$B$137&amp;"SR.26.01.01.03 Columns {"&amp;COLUMN($D$1)&amp;"}"</f>
        <v>!SR.26.01.01.03 Columns {4}</v>
      </c>
    </row>
    <row r="144" spans="2:16">
      <c r="B144" s="43" t="s">
        <v>2880</v>
      </c>
      <c r="C144" s="44" t="s">
        <v>2878</v>
      </c>
      <c r="D144" s="46"/>
    </row>
    <row r="145" spans="2:16">
      <c r="B145" s="47" t="s">
        <v>4833</v>
      </c>
      <c r="C145" s="41" t="s">
        <v>4834</v>
      </c>
      <c r="D145" s="51"/>
    </row>
    <row r="146" spans="2:16">
      <c r="B146" s="47" t="s">
        <v>4835</v>
      </c>
      <c r="C146" s="41" t="s">
        <v>4836</v>
      </c>
      <c r="D146" s="51"/>
    </row>
    <row r="147" spans="2:16">
      <c r="B147" s="47" t="s">
        <v>4837</v>
      </c>
      <c r="C147" s="41" t="s">
        <v>2885</v>
      </c>
      <c r="D147" s="51"/>
    </row>
    <row r="148" spans="2:16">
      <c r="B148" s="47" t="s">
        <v>4838</v>
      </c>
      <c r="C148" s="41" t="s">
        <v>2887</v>
      </c>
      <c r="D148" s="51"/>
    </row>
    <row r="149" spans="2:16">
      <c r="B149" s="47" t="s">
        <v>4839</v>
      </c>
      <c r="C149" s="41" t="s">
        <v>2889</v>
      </c>
      <c r="D149" s="51"/>
    </row>
    <row r="151" spans="2:16">
      <c r="O151" s="13" t="str">
        <f>Show!$B$137&amp;Show!$B$137&amp;"SR.26.01.01.03 Rows {"&amp;COLUMN($C$1)&amp;"}"</f>
        <v>!!SR.26.01.01.03 Rows {3}</v>
      </c>
      <c r="P151" s="13" t="str">
        <f>Show!$B$137&amp;Show!$B$137&amp;"SR.26.01.01.03 Columns {"&amp;COLUMN($D$1)&amp;"}"</f>
        <v>!!SR.26.01.01.03 Columns {4}</v>
      </c>
    </row>
  </sheetData>
  <sheetProtection sheet="1" objects="1" scenarios="1"/>
  <mergeCells count="17">
    <mergeCell ref="D17:D18"/>
    <mergeCell ref="E17:E18"/>
    <mergeCell ref="F17:F18"/>
    <mergeCell ref="G17:G18"/>
    <mergeCell ref="H17:H18"/>
    <mergeCell ref="B2:O2"/>
    <mergeCell ref="B5:L5"/>
    <mergeCell ref="D14:H15"/>
    <mergeCell ref="D16:E16"/>
    <mergeCell ref="F16:H16"/>
    <mergeCell ref="D140:D141"/>
    <mergeCell ref="B68:L68"/>
    <mergeCell ref="D77:E78"/>
    <mergeCell ref="D79:E79"/>
    <mergeCell ref="D80:D81"/>
    <mergeCell ref="E80:E81"/>
    <mergeCell ref="B131:L131"/>
  </mergeCells>
  <dataValidations count="4">
    <dataValidation type="list" errorStyle="warning" allowBlank="1" showInputMessage="1" showErrorMessage="1" sqref="D9 D72 D135" xr:uid="{100385F4-D458-472D-BEFF-4D09D2DB2A9E}">
      <formula1>hier_AO_1</formula1>
    </dataValidation>
    <dataValidation type="list" errorStyle="warning" allowBlank="1" showInputMessage="1" showErrorMessage="1" sqref="D10 D73 D136" xr:uid="{5B742BB1-46B4-4C46-8008-FC42DDDCCD9A}">
      <formula1>hier_PU_20</formula1>
    </dataValidation>
    <dataValidation type="list" errorStyle="warning" allowBlank="1" showInputMessage="1" showErrorMessage="1" sqref="D146" xr:uid="{3A21EE5E-1DDA-4E8F-89D4-31E27E632CEB}">
      <formula1>hier_AP_25</formula1>
    </dataValidation>
    <dataValidation type="list" errorStyle="warning" allowBlank="1" showInputMessage="1" showErrorMessage="1" sqref="D147 D148 D149" xr:uid="{4194C4EF-5D32-43B5-A9B0-8EFBB3CF58EE}">
      <formula1>hier_AP_17</formula1>
    </dataValidation>
  </dataValidations>
  <pageMargins left="0.7" right="0.7" top="0.75" bottom="0.75" header="0.3" footer="0.3"/>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22075-C3E3-480B-AA54-35AC4F05163C}">
  <sheetPr codeName="Blad142"/>
  <dimension ref="B2:O68"/>
  <sheetViews>
    <sheetView showGridLines="0" workbookViewId="0"/>
  </sheetViews>
  <sheetFormatPr defaultRowHeight="15"/>
  <cols>
    <col min="2" max="2" width="81.5703125" bestFit="1" customWidth="1"/>
    <col min="4" max="9" width="15.7109375" customWidth="1"/>
  </cols>
  <sheetData>
    <row r="2" spans="2:15" ht="23.25">
      <c r="B2" s="86" t="s">
        <v>718</v>
      </c>
      <c r="C2" s="87"/>
      <c r="D2" s="87"/>
      <c r="E2" s="87"/>
      <c r="F2" s="87"/>
      <c r="G2" s="87"/>
      <c r="H2" s="87"/>
      <c r="I2" s="87"/>
      <c r="J2" s="87"/>
      <c r="K2" s="87"/>
      <c r="L2" s="87"/>
      <c r="M2" s="87"/>
      <c r="N2" s="87"/>
      <c r="O2" s="87"/>
    </row>
    <row r="5" spans="2:15" ht="18.75">
      <c r="B5" s="88" t="s">
        <v>4848</v>
      </c>
      <c r="C5" s="87"/>
      <c r="D5" s="87"/>
      <c r="E5" s="87"/>
      <c r="F5" s="87"/>
      <c r="G5" s="87"/>
      <c r="H5" s="87"/>
      <c r="I5" s="87"/>
      <c r="J5" s="87"/>
      <c r="K5" s="87"/>
      <c r="L5" s="87"/>
    </row>
    <row r="7" spans="2:15">
      <c r="B7" t="s">
        <v>3110</v>
      </c>
      <c r="N7" s="13" t="str">
        <f>Show!$B$138&amp;"S.26.02.01.01 Table label {"&amp;COLUMN($C$1)&amp;"}"</f>
        <v>!S.26.02.01.01 Table label {3}</v>
      </c>
      <c r="O7" s="13" t="str">
        <f>Show!$B$138&amp;"S.26.02.01.01 Table value {"&amp;COLUMN($D$1)&amp;"}"</f>
        <v>!S.26.02.01.01 Table value {4}</v>
      </c>
    </row>
    <row r="8" spans="2:15">
      <c r="B8" t="s">
        <v>3111</v>
      </c>
    </row>
    <row r="9" spans="2:15">
      <c r="B9" s="40" t="s">
        <v>4622</v>
      </c>
      <c r="C9" s="53" t="s">
        <v>3113</v>
      </c>
      <c r="D9" s="51"/>
    </row>
    <row r="10" spans="2:15">
      <c r="N10" s="13" t="str">
        <f>Show!$B$138&amp;Show!$B$138&amp;"S.26.02.01.01 Table label {"&amp;COLUMN($C$1)&amp;"}"</f>
        <v>!!S.26.02.01.01 Table label {3}</v>
      </c>
      <c r="O10" s="13" t="str">
        <f>Show!$B$138&amp;Show!$B$138&amp;"S.26.02.01.01 Table value {"&amp;COLUMN($D$1)&amp;"}"</f>
        <v>!!S.26.02.01.01 Table value {4}</v>
      </c>
    </row>
    <row r="12" spans="2:15">
      <c r="D12" s="92" t="s">
        <v>2877</v>
      </c>
      <c r="E12" s="93"/>
      <c r="F12" s="93"/>
      <c r="G12" s="93"/>
      <c r="H12" s="93"/>
      <c r="I12" s="94"/>
    </row>
    <row r="13" spans="2:15">
      <c r="D13" s="95"/>
      <c r="E13" s="96"/>
      <c r="F13" s="96"/>
      <c r="G13" s="96"/>
      <c r="H13" s="96"/>
      <c r="I13" s="97"/>
    </row>
    <row r="14" spans="2:15">
      <c r="D14" s="89" t="s">
        <v>4849</v>
      </c>
      <c r="E14" s="89" t="s">
        <v>4850</v>
      </c>
      <c r="F14" s="89" t="s">
        <v>4851</v>
      </c>
      <c r="G14" s="89" t="s">
        <v>4852</v>
      </c>
      <c r="H14" s="89" t="s">
        <v>4623</v>
      </c>
      <c r="I14" s="89" t="s">
        <v>4624</v>
      </c>
    </row>
    <row r="15" spans="2:15">
      <c r="D15" s="91"/>
      <c r="E15" s="91"/>
      <c r="F15" s="91"/>
      <c r="G15" s="91"/>
      <c r="H15" s="91"/>
      <c r="I15" s="91"/>
    </row>
    <row r="16" spans="2:15">
      <c r="D16" s="45" t="s">
        <v>3219</v>
      </c>
      <c r="E16" s="45" t="s">
        <v>3225</v>
      </c>
      <c r="F16" s="45" t="s">
        <v>3229</v>
      </c>
      <c r="G16" s="45" t="s">
        <v>3231</v>
      </c>
      <c r="H16" s="45" t="s">
        <v>3233</v>
      </c>
      <c r="I16" s="45" t="s">
        <v>3234</v>
      </c>
      <c r="N16" s="13" t="str">
        <f>Show!$B$138&amp;"S.26.02.01.01 Rows {"&amp;COLUMN($C$1)&amp;"}"&amp;"@ForceFilingCode:true"</f>
        <v>!S.26.02.01.01 Rows {3}@ForceFilingCode:true</v>
      </c>
      <c r="O16" s="13" t="str">
        <f>Show!$B$138&amp;"S.26.02.01.01 Columns {"&amp;COLUMN($D$1)&amp;"}"</f>
        <v>!S.26.02.01.01 Columns {4}</v>
      </c>
    </row>
    <row r="17" spans="2:9">
      <c r="B17" s="43" t="s">
        <v>2880</v>
      </c>
      <c r="C17" s="44" t="s">
        <v>2878</v>
      </c>
      <c r="D17" s="58"/>
      <c r="E17" s="67"/>
      <c r="F17" s="67"/>
      <c r="G17" s="67"/>
      <c r="H17" s="67"/>
      <c r="I17" s="57"/>
    </row>
    <row r="18" spans="2:9">
      <c r="B18" s="47" t="s">
        <v>4853</v>
      </c>
      <c r="C18" s="44" t="s">
        <v>2899</v>
      </c>
      <c r="D18" s="56"/>
      <c r="E18" s="56"/>
      <c r="F18" s="56"/>
      <c r="G18" s="56"/>
      <c r="H18" s="48"/>
      <c r="I18" s="63"/>
    </row>
    <row r="19" spans="2:9">
      <c r="B19" s="49" t="s">
        <v>4854</v>
      </c>
      <c r="C19" s="41" t="s">
        <v>2901</v>
      </c>
      <c r="D19" s="51"/>
      <c r="E19" s="51"/>
      <c r="F19" s="60"/>
      <c r="G19" s="71"/>
      <c r="H19" s="58"/>
      <c r="I19" s="48"/>
    </row>
    <row r="20" spans="2:9">
      <c r="B20" s="49" t="s">
        <v>4855</v>
      </c>
      <c r="C20" s="41" t="s">
        <v>2903</v>
      </c>
      <c r="D20" s="51"/>
      <c r="E20" s="51"/>
      <c r="F20" s="60"/>
      <c r="G20" s="71"/>
      <c r="H20" s="58"/>
      <c r="I20" s="48"/>
    </row>
    <row r="21" spans="2:9">
      <c r="B21" s="49" t="s">
        <v>4856</v>
      </c>
      <c r="C21" s="41" t="s">
        <v>2905</v>
      </c>
      <c r="D21" s="51"/>
      <c r="E21" s="51"/>
      <c r="F21" s="60"/>
      <c r="G21" s="71"/>
      <c r="H21" s="58"/>
      <c r="I21" s="48"/>
    </row>
    <row r="22" spans="2:9">
      <c r="B22" s="49" t="s">
        <v>4857</v>
      </c>
      <c r="C22" s="41" t="s">
        <v>2907</v>
      </c>
      <c r="D22" s="51"/>
      <c r="E22" s="51"/>
      <c r="F22" s="60"/>
      <c r="G22" s="71"/>
      <c r="H22" s="58"/>
      <c r="I22" s="48"/>
    </row>
    <row r="23" spans="2:9">
      <c r="B23" s="49" t="s">
        <v>4858</v>
      </c>
      <c r="C23" s="41" t="s">
        <v>2909</v>
      </c>
      <c r="D23" s="51"/>
      <c r="E23" s="51"/>
      <c r="F23" s="60"/>
      <c r="G23" s="71"/>
      <c r="H23" s="58"/>
      <c r="I23" s="48"/>
    </row>
    <row r="24" spans="2:9">
      <c r="B24" s="49" t="s">
        <v>4859</v>
      </c>
      <c r="C24" s="41" t="s">
        <v>2911</v>
      </c>
      <c r="D24" s="51"/>
      <c r="E24" s="51"/>
      <c r="F24" s="60"/>
      <c r="G24" s="71"/>
      <c r="H24" s="58"/>
      <c r="I24" s="48"/>
    </row>
    <row r="25" spans="2:9">
      <c r="B25" s="49" t="s">
        <v>4860</v>
      </c>
      <c r="C25" s="41" t="s">
        <v>2913</v>
      </c>
      <c r="D25" s="51"/>
      <c r="E25" s="51"/>
      <c r="F25" s="60"/>
      <c r="G25" s="71"/>
      <c r="H25" s="58"/>
      <c r="I25" s="48"/>
    </row>
    <row r="26" spans="2:9">
      <c r="B26" s="49" t="s">
        <v>4861</v>
      </c>
      <c r="C26" s="41" t="s">
        <v>2915</v>
      </c>
      <c r="D26" s="51"/>
      <c r="E26" s="51"/>
      <c r="F26" s="60"/>
      <c r="G26" s="71"/>
      <c r="H26" s="58"/>
      <c r="I26" s="48"/>
    </row>
    <row r="27" spans="2:9">
      <c r="B27" s="49" t="s">
        <v>4862</v>
      </c>
      <c r="C27" s="41" t="s">
        <v>2917</v>
      </c>
      <c r="D27" s="51"/>
      <c r="E27" s="51"/>
      <c r="F27" s="60"/>
      <c r="G27" s="71"/>
      <c r="H27" s="58"/>
      <c r="I27" s="48"/>
    </row>
    <row r="28" spans="2:9">
      <c r="B28" s="49" t="s">
        <v>4863</v>
      </c>
      <c r="C28" s="41" t="s">
        <v>2919</v>
      </c>
      <c r="D28" s="68"/>
      <c r="E28" s="68"/>
      <c r="F28" s="63"/>
      <c r="G28" s="78"/>
      <c r="H28" s="58"/>
      <c r="I28" s="46"/>
    </row>
    <row r="29" spans="2:9">
      <c r="B29" s="47" t="s">
        <v>4864</v>
      </c>
      <c r="C29" s="44" t="s">
        <v>2939</v>
      </c>
      <c r="D29" s="58"/>
      <c r="E29" s="58"/>
      <c r="F29" s="56"/>
      <c r="G29" s="58"/>
      <c r="H29" s="48"/>
      <c r="I29" s="63"/>
    </row>
    <row r="30" spans="2:9">
      <c r="B30" s="49" t="s">
        <v>4865</v>
      </c>
      <c r="C30" s="44" t="s">
        <v>2941</v>
      </c>
      <c r="D30" s="58"/>
      <c r="E30" s="48"/>
      <c r="F30" s="64"/>
      <c r="G30" s="58"/>
      <c r="H30" s="58"/>
      <c r="I30" s="48"/>
    </row>
    <row r="31" spans="2:9" ht="30">
      <c r="B31" s="49" t="s">
        <v>4866</v>
      </c>
      <c r="C31" s="44" t="s">
        <v>2943</v>
      </c>
      <c r="D31" s="58"/>
      <c r="E31" s="48"/>
      <c r="F31" s="65"/>
      <c r="G31" s="58"/>
      <c r="H31" s="58"/>
      <c r="I31" s="46"/>
    </row>
    <row r="32" spans="2:9">
      <c r="B32" s="47" t="s">
        <v>4867</v>
      </c>
      <c r="C32" s="44" t="s">
        <v>2945</v>
      </c>
      <c r="D32" s="58"/>
      <c r="E32" s="58"/>
      <c r="F32" s="58"/>
      <c r="G32" s="58"/>
      <c r="H32" s="46"/>
      <c r="I32" s="60"/>
    </row>
    <row r="33" spans="2:15">
      <c r="B33" s="47" t="s">
        <v>4868</v>
      </c>
      <c r="C33" s="44" t="s">
        <v>2959</v>
      </c>
      <c r="D33" s="56"/>
      <c r="E33" s="56"/>
      <c r="F33" s="56"/>
      <c r="G33" s="46"/>
      <c r="H33" s="60"/>
      <c r="I33" s="60"/>
    </row>
    <row r="35" spans="2:15">
      <c r="N35" s="13" t="str">
        <f>Show!$B$138&amp;Show!$B$138&amp;"S.26.02.01.01 Rows {"&amp;COLUMN($C$1)&amp;"}"</f>
        <v>!!S.26.02.01.01 Rows {3}</v>
      </c>
      <c r="O35" s="13" t="str">
        <f>Show!$B$138&amp;Show!$B$138&amp;"S.26.02.01.01 Columns {"&amp;COLUMN($I$1)&amp;"}"</f>
        <v>!!S.26.02.01.01 Columns {9}</v>
      </c>
    </row>
    <row r="37" spans="2:15" ht="18.75">
      <c r="B37" s="88" t="s">
        <v>4869</v>
      </c>
      <c r="C37" s="87"/>
      <c r="D37" s="87"/>
      <c r="E37" s="87"/>
      <c r="F37" s="87"/>
      <c r="G37" s="87"/>
      <c r="H37" s="87"/>
      <c r="I37" s="87"/>
      <c r="J37" s="87"/>
      <c r="K37" s="87"/>
      <c r="L37" s="87"/>
    </row>
    <row r="39" spans="2:15">
      <c r="B39" t="s">
        <v>3110</v>
      </c>
      <c r="N39" s="13" t="str">
        <f>Show!$B$138&amp;"S.26.02.01.02 Table label {"&amp;COLUMN($C$1)&amp;"}"</f>
        <v>!S.26.02.01.02 Table label {3}</v>
      </c>
      <c r="O39" s="13" t="str">
        <f>Show!$B$138&amp;"S.26.02.01.02 Table value {"&amp;COLUMN($D$1)&amp;"}"</f>
        <v>!S.26.02.01.02 Table value {4}</v>
      </c>
    </row>
    <row r="40" spans="2:15">
      <c r="B40" t="s">
        <v>3111</v>
      </c>
    </row>
    <row r="41" spans="2:15">
      <c r="B41" s="40" t="s">
        <v>4622</v>
      </c>
      <c r="C41" s="53" t="s">
        <v>3113</v>
      </c>
      <c r="D41" s="51"/>
    </row>
    <row r="42" spans="2:15">
      <c r="N42" s="13" t="str">
        <f>Show!$B$138&amp;Show!$B$138&amp;"S.26.02.01.02 Table label {"&amp;COLUMN($C$1)&amp;"}"</f>
        <v>!!S.26.02.01.02 Table label {3}</v>
      </c>
      <c r="O42" s="13" t="str">
        <f>Show!$B$138&amp;Show!$B$138&amp;"S.26.02.01.02 Table value {"&amp;COLUMN($D$1)&amp;"}"</f>
        <v>!!S.26.02.01.02 Table value {4}</v>
      </c>
    </row>
    <row r="44" spans="2:15">
      <c r="D44" s="89" t="s">
        <v>2877</v>
      </c>
    </row>
    <row r="45" spans="2:15">
      <c r="D45" s="91"/>
    </row>
    <row r="46" spans="2:15" ht="30">
      <c r="D46" s="55" t="s">
        <v>2574</v>
      </c>
    </row>
    <row r="47" spans="2:15">
      <c r="D47" s="45" t="s">
        <v>2879</v>
      </c>
      <c r="N47" s="13" t="str">
        <f>Show!$B$138&amp;"S.26.02.01.02 Rows {"&amp;COLUMN($C$1)&amp;"}"&amp;"@ForceFilingCode:true"</f>
        <v>!S.26.02.01.02 Rows {3}@ForceFilingCode:true</v>
      </c>
      <c r="O47" s="13" t="str">
        <f>Show!$B$138&amp;"S.26.02.01.02 Columns {"&amp;COLUMN($D$1)&amp;"}"</f>
        <v>!S.26.02.01.02 Columns {4}</v>
      </c>
    </row>
    <row r="48" spans="2:15">
      <c r="B48" s="43" t="s">
        <v>2880</v>
      </c>
      <c r="C48" s="44" t="s">
        <v>2878</v>
      </c>
      <c r="D48" s="46"/>
    </row>
    <row r="49" spans="2:15">
      <c r="B49" s="47" t="s">
        <v>4684</v>
      </c>
      <c r="C49" s="41" t="s">
        <v>2883</v>
      </c>
      <c r="D49" s="51"/>
    </row>
    <row r="51" spans="2:15">
      <c r="N51" s="13" t="str">
        <f>Show!$B$138&amp;Show!$B$138&amp;"S.26.02.01.02 Rows {"&amp;COLUMN($C$1)&amp;"}"</f>
        <v>!!S.26.02.01.02 Rows {3}</v>
      </c>
      <c r="O51" s="13" t="str">
        <f>Show!$B$138&amp;Show!$B$138&amp;"S.26.02.01.02 Columns {"&amp;COLUMN($D$1)&amp;"}"</f>
        <v>!!S.26.02.01.02 Columns {4}</v>
      </c>
    </row>
    <row r="53" spans="2:15" ht="18.75">
      <c r="B53" s="88" t="s">
        <v>4870</v>
      </c>
      <c r="C53" s="87"/>
      <c r="D53" s="87"/>
      <c r="E53" s="87"/>
      <c r="F53" s="87"/>
      <c r="G53" s="87"/>
      <c r="H53" s="87"/>
      <c r="I53" s="87"/>
      <c r="J53" s="87"/>
      <c r="K53" s="87"/>
      <c r="L53" s="87"/>
    </row>
    <row r="55" spans="2:15">
      <c r="B55" t="s">
        <v>3110</v>
      </c>
      <c r="N55" s="13" t="str">
        <f>Show!$B$138&amp;"S.26.02.01.03 Table label {"&amp;COLUMN($C$1)&amp;"}"</f>
        <v>!S.26.02.01.03 Table label {3}</v>
      </c>
      <c r="O55" s="13" t="str">
        <f>Show!$B$138&amp;"S.26.02.01.03 Table value {"&amp;COLUMN($D$1)&amp;"}"</f>
        <v>!S.26.02.01.03 Table value {4}</v>
      </c>
    </row>
    <row r="56" spans="2:15">
      <c r="B56" t="s">
        <v>3111</v>
      </c>
    </row>
    <row r="57" spans="2:15">
      <c r="B57" s="40" t="s">
        <v>4622</v>
      </c>
      <c r="C57" s="53" t="s">
        <v>3113</v>
      </c>
      <c r="D57" s="51"/>
    </row>
    <row r="58" spans="2:15">
      <c r="N58" s="13" t="str">
        <f>Show!$B$138&amp;Show!$B$138&amp;"S.26.02.01.03 Table label {"&amp;COLUMN($C$1)&amp;"}"</f>
        <v>!!S.26.02.01.03 Table label {3}</v>
      </c>
      <c r="O58" s="13" t="str">
        <f>Show!$B$138&amp;Show!$B$138&amp;"S.26.02.01.03 Table value {"&amp;COLUMN($D$1)&amp;"}"</f>
        <v>!!S.26.02.01.03 Table value {4}</v>
      </c>
    </row>
    <row r="60" spans="2:15">
      <c r="D60" s="89" t="s">
        <v>2877</v>
      </c>
    </row>
    <row r="61" spans="2:15">
      <c r="D61" s="90"/>
    </row>
    <row r="62" spans="2:15">
      <c r="D62" s="91"/>
    </row>
    <row r="63" spans="2:15">
      <c r="D63" s="45" t="s">
        <v>3236</v>
      </c>
      <c r="N63" s="13" t="str">
        <f>Show!$B$138&amp;"S.26.02.01.03 Rows {"&amp;COLUMN($C$1)&amp;"}"&amp;"@ForceFilingCode:true"</f>
        <v>!S.26.02.01.03 Rows {3}@ForceFilingCode:true</v>
      </c>
      <c r="O63" s="13" t="str">
        <f>Show!$B$138&amp;"S.26.02.01.03 Columns {"&amp;COLUMN($D$1)&amp;"}"</f>
        <v>!S.26.02.01.03 Columns {4}</v>
      </c>
    </row>
    <row r="64" spans="2:15">
      <c r="B64" s="43" t="s">
        <v>2880</v>
      </c>
      <c r="C64" s="44" t="s">
        <v>2878</v>
      </c>
      <c r="D64" s="46"/>
    </row>
    <row r="65" spans="2:15">
      <c r="B65" s="47" t="s">
        <v>4871</v>
      </c>
      <c r="C65" s="41" t="s">
        <v>2977</v>
      </c>
      <c r="D65" s="60"/>
    </row>
    <row r="66" spans="2:15">
      <c r="B66" s="47" t="s">
        <v>4872</v>
      </c>
      <c r="C66" s="41" t="s">
        <v>2979</v>
      </c>
      <c r="D66" s="60"/>
    </row>
    <row r="68" spans="2:15">
      <c r="N68" s="13" t="str">
        <f>Show!$B$138&amp;Show!$B$138&amp;"S.26.02.01.03 Rows {"&amp;COLUMN($C$1)&amp;"}"</f>
        <v>!!S.26.02.01.03 Rows {3}</v>
      </c>
      <c r="O68" s="13" t="str">
        <f>Show!$B$138&amp;Show!$B$138&amp;"S.26.02.01.03 Columns {"&amp;COLUMN($D$1)&amp;"}"</f>
        <v>!!S.26.02.01.03 Columns {4}</v>
      </c>
    </row>
  </sheetData>
  <sheetProtection sheet="1" objects="1" scenarios="1"/>
  <mergeCells count="13">
    <mergeCell ref="B37:L37"/>
    <mergeCell ref="D44:D45"/>
    <mergeCell ref="B53:L53"/>
    <mergeCell ref="D60:D62"/>
    <mergeCell ref="B2:O2"/>
    <mergeCell ref="B5:L5"/>
    <mergeCell ref="D12:I13"/>
    <mergeCell ref="D14:D15"/>
    <mergeCell ref="E14:E15"/>
    <mergeCell ref="F14:F15"/>
    <mergeCell ref="G14:G15"/>
    <mergeCell ref="H14:H15"/>
    <mergeCell ref="I14:I15"/>
  </mergeCells>
  <dataValidations count="1">
    <dataValidation type="list" errorStyle="warning" allowBlank="1" showInputMessage="1" showErrorMessage="1" sqref="D9 D41 D57" xr:uid="{D73A435D-9C43-4BD5-99E2-7678C6AE764D}">
      <formula1>hier_AO_1</formula1>
    </dataValidation>
  </dataValidations>
  <pageMargins left="0.7" right="0.7" top="0.75" bottom="0.75" header="0.3" footer="0.3"/>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32F10-14C3-42E5-AD71-9AEC33D3EEAD}">
  <sheetPr codeName="Blad143"/>
  <dimension ref="B2:O68"/>
  <sheetViews>
    <sheetView showGridLines="0" workbookViewId="0"/>
  </sheetViews>
  <sheetFormatPr defaultRowHeight="15"/>
  <cols>
    <col min="2" max="2" width="81.5703125" bestFit="1" customWidth="1"/>
    <col min="4" max="9" width="15.7109375" customWidth="1"/>
  </cols>
  <sheetData>
    <row r="2" spans="2:15" ht="23.25">
      <c r="B2" s="86" t="s">
        <v>718</v>
      </c>
      <c r="C2" s="87"/>
      <c r="D2" s="87"/>
      <c r="E2" s="87"/>
      <c r="F2" s="87"/>
      <c r="G2" s="87"/>
      <c r="H2" s="87"/>
      <c r="I2" s="87"/>
      <c r="J2" s="87"/>
      <c r="K2" s="87"/>
      <c r="L2" s="87"/>
      <c r="M2" s="87"/>
      <c r="N2" s="87"/>
      <c r="O2" s="87"/>
    </row>
    <row r="5" spans="2:15" ht="18.75">
      <c r="B5" s="88" t="s">
        <v>4873</v>
      </c>
      <c r="C5" s="87"/>
      <c r="D5" s="87"/>
      <c r="E5" s="87"/>
      <c r="F5" s="87"/>
      <c r="G5" s="87"/>
      <c r="H5" s="87"/>
      <c r="I5" s="87"/>
      <c r="J5" s="87"/>
      <c r="K5" s="87"/>
      <c r="L5" s="87"/>
    </row>
    <row r="7" spans="2:15">
      <c r="B7" t="s">
        <v>3110</v>
      </c>
      <c r="N7" s="13" t="str">
        <f>Show!$B$139&amp;"S.26.02.04.01 Table label {"&amp;COLUMN($C$1)&amp;"}"</f>
        <v>!S.26.02.04.01 Table label {3}</v>
      </c>
      <c r="O7" s="13" t="str">
        <f>Show!$B$139&amp;"S.26.02.04.01 Table value {"&amp;COLUMN($D$1)&amp;"}"</f>
        <v>!S.26.02.04.01 Table value {4}</v>
      </c>
    </row>
    <row r="8" spans="2:15">
      <c r="B8" t="s">
        <v>3111</v>
      </c>
    </row>
    <row r="9" spans="2:15">
      <c r="B9" s="40" t="s">
        <v>4622</v>
      </c>
      <c r="C9" s="53" t="s">
        <v>3113</v>
      </c>
      <c r="D9" s="51"/>
    </row>
    <row r="10" spans="2:15">
      <c r="N10" s="13" t="str">
        <f>Show!$B$139&amp;Show!$B$139&amp;"S.26.02.04.01 Table label {"&amp;COLUMN($C$1)&amp;"}"</f>
        <v>!!S.26.02.04.01 Table label {3}</v>
      </c>
      <c r="O10" s="13" t="str">
        <f>Show!$B$139&amp;Show!$B$139&amp;"S.26.02.04.01 Table value {"&amp;COLUMN($D$1)&amp;"}"</f>
        <v>!!S.26.02.04.01 Table value {4}</v>
      </c>
    </row>
    <row r="12" spans="2:15">
      <c r="D12" s="92" t="s">
        <v>2877</v>
      </c>
      <c r="E12" s="93"/>
      <c r="F12" s="93"/>
      <c r="G12" s="93"/>
      <c r="H12" s="93"/>
      <c r="I12" s="94"/>
    </row>
    <row r="13" spans="2:15">
      <c r="D13" s="95"/>
      <c r="E13" s="96"/>
      <c r="F13" s="96"/>
      <c r="G13" s="96"/>
      <c r="H13" s="96"/>
      <c r="I13" s="97"/>
    </row>
    <row r="14" spans="2:15">
      <c r="D14" s="89" t="s">
        <v>4849</v>
      </c>
      <c r="E14" s="89" t="s">
        <v>4850</v>
      </c>
      <c r="F14" s="89" t="s">
        <v>4851</v>
      </c>
      <c r="G14" s="89" t="s">
        <v>4852</v>
      </c>
      <c r="H14" s="89" t="s">
        <v>4623</v>
      </c>
      <c r="I14" s="89" t="s">
        <v>4624</v>
      </c>
    </row>
    <row r="15" spans="2:15">
      <c r="D15" s="91"/>
      <c r="E15" s="91"/>
      <c r="F15" s="91"/>
      <c r="G15" s="91"/>
      <c r="H15" s="91"/>
      <c r="I15" s="91"/>
    </row>
    <row r="16" spans="2:15">
      <c r="D16" s="45" t="s">
        <v>3219</v>
      </c>
      <c r="E16" s="45" t="s">
        <v>3225</v>
      </c>
      <c r="F16" s="45" t="s">
        <v>3229</v>
      </c>
      <c r="G16" s="45" t="s">
        <v>3231</v>
      </c>
      <c r="H16" s="45" t="s">
        <v>3233</v>
      </c>
      <c r="I16" s="45" t="s">
        <v>3234</v>
      </c>
      <c r="N16" s="13" t="str">
        <f>Show!$B$139&amp;"S.26.02.04.01 Rows {"&amp;COLUMN($C$1)&amp;"}"&amp;"@ForceFilingCode:true"</f>
        <v>!S.26.02.04.01 Rows {3}@ForceFilingCode:true</v>
      </c>
      <c r="O16" s="13" t="str">
        <f>Show!$B$139&amp;"S.26.02.04.01 Columns {"&amp;COLUMN($D$1)&amp;"}"</f>
        <v>!S.26.02.04.01 Columns {4}</v>
      </c>
    </row>
    <row r="17" spans="2:9">
      <c r="B17" s="43" t="s">
        <v>2880</v>
      </c>
      <c r="C17" s="44" t="s">
        <v>2878</v>
      </c>
      <c r="D17" s="58"/>
      <c r="E17" s="67"/>
      <c r="F17" s="67"/>
      <c r="G17" s="67"/>
      <c r="H17" s="67"/>
      <c r="I17" s="57"/>
    </row>
    <row r="18" spans="2:9">
      <c r="B18" s="47" t="s">
        <v>4853</v>
      </c>
      <c r="C18" s="44" t="s">
        <v>2899</v>
      </c>
      <c r="D18" s="56"/>
      <c r="E18" s="56"/>
      <c r="F18" s="56"/>
      <c r="G18" s="56"/>
      <c r="H18" s="48"/>
      <c r="I18" s="63"/>
    </row>
    <row r="19" spans="2:9">
      <c r="B19" s="49" t="s">
        <v>4854</v>
      </c>
      <c r="C19" s="41" t="s">
        <v>2901</v>
      </c>
      <c r="D19" s="51"/>
      <c r="E19" s="51"/>
      <c r="F19" s="60"/>
      <c r="G19" s="71"/>
      <c r="H19" s="58"/>
      <c r="I19" s="48"/>
    </row>
    <row r="20" spans="2:9">
      <c r="B20" s="49" t="s">
        <v>4855</v>
      </c>
      <c r="C20" s="41" t="s">
        <v>2903</v>
      </c>
      <c r="D20" s="51"/>
      <c r="E20" s="51"/>
      <c r="F20" s="60"/>
      <c r="G20" s="71"/>
      <c r="H20" s="58"/>
      <c r="I20" s="48"/>
    </row>
    <row r="21" spans="2:9">
      <c r="B21" s="49" t="s">
        <v>4856</v>
      </c>
      <c r="C21" s="41" t="s">
        <v>2905</v>
      </c>
      <c r="D21" s="51"/>
      <c r="E21" s="51"/>
      <c r="F21" s="60"/>
      <c r="G21" s="71"/>
      <c r="H21" s="58"/>
      <c r="I21" s="48"/>
    </row>
    <row r="22" spans="2:9">
      <c r="B22" s="49" t="s">
        <v>4857</v>
      </c>
      <c r="C22" s="41" t="s">
        <v>2907</v>
      </c>
      <c r="D22" s="51"/>
      <c r="E22" s="51"/>
      <c r="F22" s="60"/>
      <c r="G22" s="71"/>
      <c r="H22" s="58"/>
      <c r="I22" s="48"/>
    </row>
    <row r="23" spans="2:9">
      <c r="B23" s="49" t="s">
        <v>4858</v>
      </c>
      <c r="C23" s="41" t="s">
        <v>2909</v>
      </c>
      <c r="D23" s="51"/>
      <c r="E23" s="51"/>
      <c r="F23" s="60"/>
      <c r="G23" s="71"/>
      <c r="H23" s="58"/>
      <c r="I23" s="48"/>
    </row>
    <row r="24" spans="2:9">
      <c r="B24" s="49" t="s">
        <v>4859</v>
      </c>
      <c r="C24" s="41" t="s">
        <v>2911</v>
      </c>
      <c r="D24" s="51"/>
      <c r="E24" s="51"/>
      <c r="F24" s="60"/>
      <c r="G24" s="71"/>
      <c r="H24" s="58"/>
      <c r="I24" s="48"/>
    </row>
    <row r="25" spans="2:9">
      <c r="B25" s="49" t="s">
        <v>4860</v>
      </c>
      <c r="C25" s="41" t="s">
        <v>2913</v>
      </c>
      <c r="D25" s="51"/>
      <c r="E25" s="51"/>
      <c r="F25" s="60"/>
      <c r="G25" s="71"/>
      <c r="H25" s="58"/>
      <c r="I25" s="48"/>
    </row>
    <row r="26" spans="2:9">
      <c r="B26" s="49" t="s">
        <v>4861</v>
      </c>
      <c r="C26" s="41" t="s">
        <v>2915</v>
      </c>
      <c r="D26" s="51"/>
      <c r="E26" s="51"/>
      <c r="F26" s="60"/>
      <c r="G26" s="71"/>
      <c r="H26" s="58"/>
      <c r="I26" s="48"/>
    </row>
    <row r="27" spans="2:9">
      <c r="B27" s="49" t="s">
        <v>4862</v>
      </c>
      <c r="C27" s="41" t="s">
        <v>2917</v>
      </c>
      <c r="D27" s="51"/>
      <c r="E27" s="51"/>
      <c r="F27" s="60"/>
      <c r="G27" s="71"/>
      <c r="H27" s="58"/>
      <c r="I27" s="48"/>
    </row>
    <row r="28" spans="2:9">
      <c r="B28" s="49" t="s">
        <v>4863</v>
      </c>
      <c r="C28" s="41" t="s">
        <v>2919</v>
      </c>
      <c r="D28" s="68"/>
      <c r="E28" s="68"/>
      <c r="F28" s="63"/>
      <c r="G28" s="78"/>
      <c r="H28" s="58"/>
      <c r="I28" s="46"/>
    </row>
    <row r="29" spans="2:9">
      <c r="B29" s="47" t="s">
        <v>4864</v>
      </c>
      <c r="C29" s="44" t="s">
        <v>2939</v>
      </c>
      <c r="D29" s="58"/>
      <c r="E29" s="58"/>
      <c r="F29" s="56"/>
      <c r="G29" s="58"/>
      <c r="H29" s="48"/>
      <c r="I29" s="63"/>
    </row>
    <row r="30" spans="2:9">
      <c r="B30" s="49" t="s">
        <v>4865</v>
      </c>
      <c r="C30" s="44" t="s">
        <v>2941</v>
      </c>
      <c r="D30" s="58"/>
      <c r="E30" s="48"/>
      <c r="F30" s="64"/>
      <c r="G30" s="58"/>
      <c r="H30" s="58"/>
      <c r="I30" s="48"/>
    </row>
    <row r="31" spans="2:9" ht="30">
      <c r="B31" s="49" t="s">
        <v>4866</v>
      </c>
      <c r="C31" s="44" t="s">
        <v>2943</v>
      </c>
      <c r="D31" s="58"/>
      <c r="E31" s="48"/>
      <c r="F31" s="65"/>
      <c r="G31" s="58"/>
      <c r="H31" s="58"/>
      <c r="I31" s="46"/>
    </row>
    <row r="32" spans="2:9">
      <c r="B32" s="47" t="s">
        <v>4867</v>
      </c>
      <c r="C32" s="44" t="s">
        <v>2945</v>
      </c>
      <c r="D32" s="58"/>
      <c r="E32" s="58"/>
      <c r="F32" s="58"/>
      <c r="G32" s="58"/>
      <c r="H32" s="46"/>
      <c r="I32" s="60"/>
    </row>
    <row r="33" spans="2:15">
      <c r="B33" s="47" t="s">
        <v>4868</v>
      </c>
      <c r="C33" s="44" t="s">
        <v>2959</v>
      </c>
      <c r="D33" s="56"/>
      <c r="E33" s="56"/>
      <c r="F33" s="56"/>
      <c r="G33" s="46"/>
      <c r="H33" s="60"/>
      <c r="I33" s="60"/>
    </row>
    <row r="35" spans="2:15">
      <c r="N35" s="13" t="str">
        <f>Show!$B$139&amp;Show!$B$139&amp;"S.26.02.04.01 Rows {"&amp;COLUMN($C$1)&amp;"}"</f>
        <v>!!S.26.02.04.01 Rows {3}</v>
      </c>
      <c r="O35" s="13" t="str">
        <f>Show!$B$139&amp;Show!$B$139&amp;"S.26.02.04.01 Columns {"&amp;COLUMN($I$1)&amp;"}"</f>
        <v>!!S.26.02.04.01 Columns {9}</v>
      </c>
    </row>
    <row r="37" spans="2:15" ht="18.75">
      <c r="B37" s="88" t="s">
        <v>4874</v>
      </c>
      <c r="C37" s="87"/>
      <c r="D37" s="87"/>
      <c r="E37" s="87"/>
      <c r="F37" s="87"/>
      <c r="G37" s="87"/>
      <c r="H37" s="87"/>
      <c r="I37" s="87"/>
      <c r="J37" s="87"/>
      <c r="K37" s="87"/>
      <c r="L37" s="87"/>
    </row>
    <row r="39" spans="2:15">
      <c r="B39" t="s">
        <v>3110</v>
      </c>
      <c r="N39" s="13" t="str">
        <f>Show!$B$139&amp;"S.26.02.04.02 Table label {"&amp;COLUMN($C$1)&amp;"}"</f>
        <v>!S.26.02.04.02 Table label {3}</v>
      </c>
      <c r="O39" s="13" t="str">
        <f>Show!$B$139&amp;"S.26.02.04.02 Table value {"&amp;COLUMN($D$1)&amp;"}"</f>
        <v>!S.26.02.04.02 Table value {4}</v>
      </c>
    </row>
    <row r="40" spans="2:15">
      <c r="B40" t="s">
        <v>3111</v>
      </c>
    </row>
    <row r="41" spans="2:15">
      <c r="B41" s="40" t="s">
        <v>4622</v>
      </c>
      <c r="C41" s="53" t="s">
        <v>3113</v>
      </c>
      <c r="D41" s="51"/>
    </row>
    <row r="42" spans="2:15">
      <c r="N42" s="13" t="str">
        <f>Show!$B$139&amp;Show!$B$139&amp;"S.26.02.04.02 Table label {"&amp;COLUMN($C$1)&amp;"}"</f>
        <v>!!S.26.02.04.02 Table label {3}</v>
      </c>
      <c r="O42" s="13" t="str">
        <f>Show!$B$139&amp;Show!$B$139&amp;"S.26.02.04.02 Table value {"&amp;COLUMN($D$1)&amp;"}"</f>
        <v>!!S.26.02.04.02 Table value {4}</v>
      </c>
    </row>
    <row r="44" spans="2:15">
      <c r="D44" s="89" t="s">
        <v>2877</v>
      </c>
    </row>
    <row r="45" spans="2:15">
      <c r="D45" s="91"/>
    </row>
    <row r="46" spans="2:15" ht="30">
      <c r="D46" s="55" t="s">
        <v>2574</v>
      </c>
    </row>
    <row r="47" spans="2:15">
      <c r="D47" s="45" t="s">
        <v>2879</v>
      </c>
      <c r="N47" s="13" t="str">
        <f>Show!$B$139&amp;"S.26.02.04.02 Rows {"&amp;COLUMN($C$1)&amp;"}"&amp;"@ForceFilingCode:true"</f>
        <v>!S.26.02.04.02 Rows {3}@ForceFilingCode:true</v>
      </c>
      <c r="O47" s="13" t="str">
        <f>Show!$B$139&amp;"S.26.02.04.02 Columns {"&amp;COLUMN($D$1)&amp;"}"</f>
        <v>!S.26.02.04.02 Columns {4}</v>
      </c>
    </row>
    <row r="48" spans="2:15">
      <c r="B48" s="43" t="s">
        <v>2880</v>
      </c>
      <c r="C48" s="44" t="s">
        <v>2878</v>
      </c>
      <c r="D48" s="46"/>
    </row>
    <row r="49" spans="2:15">
      <c r="B49" s="47" t="s">
        <v>4684</v>
      </c>
      <c r="C49" s="41" t="s">
        <v>2883</v>
      </c>
      <c r="D49" s="51"/>
    </row>
    <row r="51" spans="2:15">
      <c r="N51" s="13" t="str">
        <f>Show!$B$139&amp;Show!$B$139&amp;"S.26.02.04.02 Rows {"&amp;COLUMN($C$1)&amp;"}"</f>
        <v>!!S.26.02.04.02 Rows {3}</v>
      </c>
      <c r="O51" s="13" t="str">
        <f>Show!$B$139&amp;Show!$B$139&amp;"S.26.02.04.02 Columns {"&amp;COLUMN($D$1)&amp;"}"</f>
        <v>!!S.26.02.04.02 Columns {4}</v>
      </c>
    </row>
    <row r="53" spans="2:15" ht="18.75">
      <c r="B53" s="88" t="s">
        <v>4875</v>
      </c>
      <c r="C53" s="87"/>
      <c r="D53" s="87"/>
      <c r="E53" s="87"/>
      <c r="F53" s="87"/>
      <c r="G53" s="87"/>
      <c r="H53" s="87"/>
      <c r="I53" s="87"/>
      <c r="J53" s="87"/>
      <c r="K53" s="87"/>
      <c r="L53" s="87"/>
    </row>
    <row r="55" spans="2:15">
      <c r="B55" t="s">
        <v>3110</v>
      </c>
      <c r="N55" s="13" t="str">
        <f>Show!$B$139&amp;"S.26.02.04.03 Table label {"&amp;COLUMN($C$1)&amp;"}"</f>
        <v>!S.26.02.04.03 Table label {3}</v>
      </c>
      <c r="O55" s="13" t="str">
        <f>Show!$B$139&amp;"S.26.02.04.03 Table value {"&amp;COLUMN($D$1)&amp;"}"</f>
        <v>!S.26.02.04.03 Table value {4}</v>
      </c>
    </row>
    <row r="56" spans="2:15">
      <c r="B56" t="s">
        <v>3111</v>
      </c>
    </row>
    <row r="57" spans="2:15">
      <c r="B57" s="40" t="s">
        <v>4622</v>
      </c>
      <c r="C57" s="53" t="s">
        <v>3113</v>
      </c>
      <c r="D57" s="51"/>
    </row>
    <row r="58" spans="2:15">
      <c r="N58" s="13" t="str">
        <f>Show!$B$139&amp;Show!$B$139&amp;"S.26.02.04.03 Table label {"&amp;COLUMN($C$1)&amp;"}"</f>
        <v>!!S.26.02.04.03 Table label {3}</v>
      </c>
      <c r="O58" s="13" t="str">
        <f>Show!$B$139&amp;Show!$B$139&amp;"S.26.02.04.03 Table value {"&amp;COLUMN($D$1)&amp;"}"</f>
        <v>!!S.26.02.04.03 Table value {4}</v>
      </c>
    </row>
    <row r="60" spans="2:15">
      <c r="D60" s="89" t="s">
        <v>2877</v>
      </c>
    </row>
    <row r="61" spans="2:15">
      <c r="D61" s="90"/>
    </row>
    <row r="62" spans="2:15">
      <c r="D62" s="91"/>
    </row>
    <row r="63" spans="2:15">
      <c r="D63" s="45" t="s">
        <v>3236</v>
      </c>
      <c r="N63" s="13" t="str">
        <f>Show!$B$139&amp;"S.26.02.04.03 Rows {"&amp;COLUMN($C$1)&amp;"}"&amp;"@ForceFilingCode:true"</f>
        <v>!S.26.02.04.03 Rows {3}@ForceFilingCode:true</v>
      </c>
      <c r="O63" s="13" t="str">
        <f>Show!$B$139&amp;"S.26.02.04.03 Columns {"&amp;COLUMN($D$1)&amp;"}"</f>
        <v>!S.26.02.04.03 Columns {4}</v>
      </c>
    </row>
    <row r="64" spans="2:15">
      <c r="B64" s="43" t="s">
        <v>2880</v>
      </c>
      <c r="C64" s="44" t="s">
        <v>2878</v>
      </c>
      <c r="D64" s="46"/>
    </row>
    <row r="65" spans="2:15">
      <c r="B65" s="47" t="s">
        <v>4871</v>
      </c>
      <c r="C65" s="41" t="s">
        <v>2977</v>
      </c>
      <c r="D65" s="60"/>
    </row>
    <row r="66" spans="2:15">
      <c r="B66" s="47" t="s">
        <v>4872</v>
      </c>
      <c r="C66" s="41" t="s">
        <v>2979</v>
      </c>
      <c r="D66" s="60"/>
    </row>
    <row r="68" spans="2:15">
      <c r="N68" s="13" t="str">
        <f>Show!$B$139&amp;Show!$B$139&amp;"S.26.02.04.03 Rows {"&amp;COLUMN($C$1)&amp;"}"</f>
        <v>!!S.26.02.04.03 Rows {3}</v>
      </c>
      <c r="O68" s="13" t="str">
        <f>Show!$B$139&amp;Show!$B$139&amp;"S.26.02.04.03 Columns {"&amp;COLUMN($D$1)&amp;"}"</f>
        <v>!!S.26.02.04.03 Columns {4}</v>
      </c>
    </row>
  </sheetData>
  <sheetProtection sheet="1" objects="1" scenarios="1"/>
  <mergeCells count="13">
    <mergeCell ref="B37:L37"/>
    <mergeCell ref="D44:D45"/>
    <mergeCell ref="B53:L53"/>
    <mergeCell ref="D60:D62"/>
    <mergeCell ref="B2:O2"/>
    <mergeCell ref="B5:L5"/>
    <mergeCell ref="D12:I13"/>
    <mergeCell ref="D14:D15"/>
    <mergeCell ref="E14:E15"/>
    <mergeCell ref="F14:F15"/>
    <mergeCell ref="G14:G15"/>
    <mergeCell ref="H14:H15"/>
    <mergeCell ref="I14:I15"/>
  </mergeCells>
  <dataValidations count="1">
    <dataValidation type="list" errorStyle="warning" allowBlank="1" showInputMessage="1" showErrorMessage="1" sqref="D9 D41 D57" xr:uid="{5B1BADC0-BEA2-437A-B4CA-B003575DDFA8}">
      <formula1>hier_AO_1</formula1>
    </dataValidation>
  </dataValidations>
  <pageMargins left="0.7" right="0.7" top="0.75" bottom="0.75" header="0.3" footer="0.3"/>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4B186-C00B-4EE5-BC38-A5B493CD5B8D}">
  <sheetPr codeName="Blad144"/>
  <dimension ref="B2:O55"/>
  <sheetViews>
    <sheetView showGridLines="0" workbookViewId="0"/>
  </sheetViews>
  <sheetFormatPr defaultRowHeight="15"/>
  <cols>
    <col min="2" max="2" width="81.5703125" bestFit="1" customWidth="1"/>
    <col min="4" max="4" width="40.7109375" customWidth="1"/>
    <col min="5" max="9" width="15.7109375" customWidth="1"/>
  </cols>
  <sheetData>
    <row r="2" spans="2:15" ht="23.25">
      <c r="B2" s="86" t="s">
        <v>718</v>
      </c>
      <c r="C2" s="87"/>
      <c r="D2" s="87"/>
      <c r="E2" s="87"/>
      <c r="F2" s="87"/>
      <c r="G2" s="87"/>
      <c r="H2" s="87"/>
      <c r="I2" s="87"/>
      <c r="J2" s="87"/>
      <c r="K2" s="87"/>
      <c r="L2" s="87"/>
      <c r="M2" s="87"/>
      <c r="N2" s="87"/>
      <c r="O2" s="87"/>
    </row>
    <row r="5" spans="2:15" ht="18.75">
      <c r="B5" s="88" t="s">
        <v>4876</v>
      </c>
      <c r="C5" s="87"/>
      <c r="D5" s="87"/>
      <c r="E5" s="87"/>
      <c r="F5" s="87"/>
      <c r="G5" s="87"/>
      <c r="H5" s="87"/>
      <c r="I5" s="87"/>
      <c r="J5" s="87"/>
      <c r="K5" s="87"/>
      <c r="L5" s="87"/>
    </row>
    <row r="7" spans="2:15">
      <c r="B7" t="s">
        <v>3110</v>
      </c>
      <c r="N7" s="13" t="str">
        <f>Show!$B$140&amp;"SR.26.02.01.01 Table label {"&amp;COLUMN($C$1)&amp;"}"</f>
        <v>!SR.26.02.01.01 Table label {3}</v>
      </c>
      <c r="O7" s="13" t="str">
        <f>Show!$B$140&amp;"SR.26.02.01.01 Table value {"&amp;COLUMN($D$1)&amp;"}"</f>
        <v>!SR.26.02.01.01 Table value {4}</v>
      </c>
    </row>
    <row r="8" spans="2:15">
      <c r="B8" t="s">
        <v>3111</v>
      </c>
    </row>
    <row r="9" spans="2:15">
      <c r="B9" s="40" t="s">
        <v>4622</v>
      </c>
      <c r="C9" s="53" t="s">
        <v>3113</v>
      </c>
      <c r="D9" s="51"/>
    </row>
    <row r="10" spans="2:15">
      <c r="B10" s="40" t="s">
        <v>3788</v>
      </c>
      <c r="C10" s="53" t="s">
        <v>3115</v>
      </c>
      <c r="D10" s="51"/>
    </row>
    <row r="11" spans="2:15">
      <c r="B11" s="40" t="s">
        <v>3114</v>
      </c>
      <c r="C11" s="53" t="s">
        <v>3323</v>
      </c>
      <c r="D11" s="50"/>
    </row>
    <row r="12" spans="2:15">
      <c r="N12" s="13" t="str">
        <f>Show!$B$140&amp;Show!$B$140&amp;"SR.26.02.01.01 Table label {"&amp;COLUMN($C$1)&amp;"}"</f>
        <v>!!SR.26.02.01.01 Table label {3}</v>
      </c>
      <c r="O12" s="13" t="str">
        <f>Show!$B$140&amp;Show!$B$140&amp;"SR.26.02.01.01 Table value {"&amp;COLUMN($D$1)&amp;"}"</f>
        <v>!!SR.26.02.01.01 Table value {4}</v>
      </c>
    </row>
    <row r="14" spans="2:15">
      <c r="D14" s="92" t="s">
        <v>2877</v>
      </c>
      <c r="E14" s="93"/>
      <c r="F14" s="93"/>
      <c r="G14" s="93"/>
      <c r="H14" s="93"/>
      <c r="I14" s="94"/>
    </row>
    <row r="15" spans="2:15">
      <c r="D15" s="95"/>
      <c r="E15" s="96"/>
      <c r="F15" s="96"/>
      <c r="G15" s="96"/>
      <c r="H15" s="96"/>
      <c r="I15" s="97"/>
    </row>
    <row r="16" spans="2:15">
      <c r="D16" s="89" t="s">
        <v>4849</v>
      </c>
      <c r="E16" s="89" t="s">
        <v>4850</v>
      </c>
      <c r="F16" s="89" t="s">
        <v>4851</v>
      </c>
      <c r="G16" s="89" t="s">
        <v>4852</v>
      </c>
      <c r="H16" s="89" t="s">
        <v>4623</v>
      </c>
      <c r="I16" s="89" t="s">
        <v>4624</v>
      </c>
    </row>
    <row r="17" spans="2:15">
      <c r="D17" s="91"/>
      <c r="E17" s="91"/>
      <c r="F17" s="91"/>
      <c r="G17" s="91"/>
      <c r="H17" s="91"/>
      <c r="I17" s="91"/>
    </row>
    <row r="18" spans="2:15">
      <c r="D18" s="45" t="s">
        <v>3219</v>
      </c>
      <c r="E18" s="45" t="s">
        <v>3225</v>
      </c>
      <c r="F18" s="45" t="s">
        <v>3229</v>
      </c>
      <c r="G18" s="45" t="s">
        <v>3231</v>
      </c>
      <c r="H18" s="45" t="s">
        <v>3233</v>
      </c>
      <c r="I18" s="45" t="s">
        <v>3234</v>
      </c>
      <c r="N18" s="13" t="str">
        <f>Show!$B$140&amp;"SR.26.02.01.01 Rows {"&amp;COLUMN($C$1)&amp;"}"&amp;"@ForceFilingCode:true"</f>
        <v>!SR.26.02.01.01 Rows {3}@ForceFilingCode:true</v>
      </c>
      <c r="O18" s="13" t="str">
        <f>Show!$B$140&amp;"SR.26.02.01.01 Columns {"&amp;COLUMN($D$1)&amp;"}"</f>
        <v>!SR.26.02.01.01 Columns {4}</v>
      </c>
    </row>
    <row r="19" spans="2:15">
      <c r="B19" s="43" t="s">
        <v>2880</v>
      </c>
      <c r="C19" s="44" t="s">
        <v>2878</v>
      </c>
      <c r="D19" s="58"/>
      <c r="E19" s="67"/>
      <c r="F19" s="67"/>
      <c r="G19" s="67"/>
      <c r="H19" s="67"/>
      <c r="I19" s="57"/>
    </row>
    <row r="20" spans="2:15">
      <c r="B20" s="47" t="s">
        <v>4853</v>
      </c>
      <c r="C20" s="44" t="s">
        <v>2899</v>
      </c>
      <c r="D20" s="56"/>
      <c r="E20" s="56"/>
      <c r="F20" s="56"/>
      <c r="G20" s="56"/>
      <c r="H20" s="48"/>
      <c r="I20" s="63"/>
    </row>
    <row r="21" spans="2:15">
      <c r="B21" s="49" t="s">
        <v>4854</v>
      </c>
      <c r="C21" s="41" t="s">
        <v>2901</v>
      </c>
      <c r="D21" s="51"/>
      <c r="E21" s="51"/>
      <c r="F21" s="60"/>
      <c r="G21" s="71"/>
      <c r="H21" s="58"/>
      <c r="I21" s="48"/>
    </row>
    <row r="22" spans="2:15">
      <c r="B22" s="49" t="s">
        <v>4855</v>
      </c>
      <c r="C22" s="41" t="s">
        <v>2903</v>
      </c>
      <c r="D22" s="51"/>
      <c r="E22" s="51"/>
      <c r="F22" s="60"/>
      <c r="G22" s="71"/>
      <c r="H22" s="58"/>
      <c r="I22" s="48"/>
    </row>
    <row r="23" spans="2:15">
      <c r="B23" s="49" t="s">
        <v>4856</v>
      </c>
      <c r="C23" s="41" t="s">
        <v>2905</v>
      </c>
      <c r="D23" s="51"/>
      <c r="E23" s="51"/>
      <c r="F23" s="60"/>
      <c r="G23" s="71"/>
      <c r="H23" s="58"/>
      <c r="I23" s="48"/>
    </row>
    <row r="24" spans="2:15">
      <c r="B24" s="49" t="s">
        <v>4857</v>
      </c>
      <c r="C24" s="41" t="s">
        <v>2907</v>
      </c>
      <c r="D24" s="51"/>
      <c r="E24" s="51"/>
      <c r="F24" s="60"/>
      <c r="G24" s="71"/>
      <c r="H24" s="58"/>
      <c r="I24" s="48"/>
    </row>
    <row r="25" spans="2:15">
      <c r="B25" s="49" t="s">
        <v>4858</v>
      </c>
      <c r="C25" s="41" t="s">
        <v>2909</v>
      </c>
      <c r="D25" s="51"/>
      <c r="E25" s="51"/>
      <c r="F25" s="60"/>
      <c r="G25" s="71"/>
      <c r="H25" s="58"/>
      <c r="I25" s="48"/>
    </row>
    <row r="26" spans="2:15">
      <c r="B26" s="49" t="s">
        <v>4859</v>
      </c>
      <c r="C26" s="41" t="s">
        <v>2911</v>
      </c>
      <c r="D26" s="51"/>
      <c r="E26" s="51"/>
      <c r="F26" s="60"/>
      <c r="G26" s="71"/>
      <c r="H26" s="58"/>
      <c r="I26" s="48"/>
    </row>
    <row r="27" spans="2:15">
      <c r="B27" s="49" t="s">
        <v>4860</v>
      </c>
      <c r="C27" s="41" t="s">
        <v>2913</v>
      </c>
      <c r="D27" s="51"/>
      <c r="E27" s="51"/>
      <c r="F27" s="60"/>
      <c r="G27" s="71"/>
      <c r="H27" s="58"/>
      <c r="I27" s="48"/>
    </row>
    <row r="28" spans="2:15">
      <c r="B28" s="49" t="s">
        <v>4861</v>
      </c>
      <c r="C28" s="41" t="s">
        <v>2915</v>
      </c>
      <c r="D28" s="51"/>
      <c r="E28" s="51"/>
      <c r="F28" s="60"/>
      <c r="G28" s="71"/>
      <c r="H28" s="58"/>
      <c r="I28" s="48"/>
    </row>
    <row r="29" spans="2:15">
      <c r="B29" s="49" t="s">
        <v>4862</v>
      </c>
      <c r="C29" s="41" t="s">
        <v>2917</v>
      </c>
      <c r="D29" s="51"/>
      <c r="E29" s="51"/>
      <c r="F29" s="60"/>
      <c r="G29" s="71"/>
      <c r="H29" s="58"/>
      <c r="I29" s="48"/>
    </row>
    <row r="30" spans="2:15">
      <c r="B30" s="49" t="s">
        <v>4863</v>
      </c>
      <c r="C30" s="41" t="s">
        <v>2919</v>
      </c>
      <c r="D30" s="68"/>
      <c r="E30" s="68"/>
      <c r="F30" s="63"/>
      <c r="G30" s="78"/>
      <c r="H30" s="58"/>
      <c r="I30" s="46"/>
    </row>
    <row r="31" spans="2:15">
      <c r="B31" s="47" t="s">
        <v>4864</v>
      </c>
      <c r="C31" s="44" t="s">
        <v>2939</v>
      </c>
      <c r="D31" s="58"/>
      <c r="E31" s="58"/>
      <c r="F31" s="56"/>
      <c r="G31" s="58"/>
      <c r="H31" s="48"/>
      <c r="I31" s="63"/>
    </row>
    <row r="32" spans="2:15">
      <c r="B32" s="49" t="s">
        <v>4865</v>
      </c>
      <c r="C32" s="44" t="s">
        <v>2941</v>
      </c>
      <c r="D32" s="58"/>
      <c r="E32" s="48"/>
      <c r="F32" s="64"/>
      <c r="G32" s="58"/>
      <c r="H32" s="58"/>
      <c r="I32" s="48"/>
    </row>
    <row r="33" spans="2:15" ht="30">
      <c r="B33" s="49" t="s">
        <v>4866</v>
      </c>
      <c r="C33" s="44" t="s">
        <v>2943</v>
      </c>
      <c r="D33" s="58"/>
      <c r="E33" s="48"/>
      <c r="F33" s="65"/>
      <c r="G33" s="58"/>
      <c r="H33" s="58"/>
      <c r="I33" s="46"/>
    </row>
    <row r="34" spans="2:15">
      <c r="B34" s="47" t="s">
        <v>4867</v>
      </c>
      <c r="C34" s="44" t="s">
        <v>2945</v>
      </c>
      <c r="D34" s="58"/>
      <c r="E34" s="58"/>
      <c r="F34" s="58"/>
      <c r="G34" s="58"/>
      <c r="H34" s="46"/>
      <c r="I34" s="60"/>
    </row>
    <row r="35" spans="2:15">
      <c r="B35" s="47" t="s">
        <v>4868</v>
      </c>
      <c r="C35" s="44" t="s">
        <v>2959</v>
      </c>
      <c r="D35" s="56"/>
      <c r="E35" s="56"/>
      <c r="F35" s="56"/>
      <c r="G35" s="46"/>
      <c r="H35" s="60"/>
      <c r="I35" s="60"/>
    </row>
    <row r="37" spans="2:15">
      <c r="N37" s="13" t="str">
        <f>Show!$B$140&amp;Show!$B$140&amp;"SR.26.02.01.01 Rows {"&amp;COLUMN($C$1)&amp;"}"</f>
        <v>!!SR.26.02.01.01 Rows {3}</v>
      </c>
      <c r="O37" s="13" t="str">
        <f>Show!$B$140&amp;Show!$B$140&amp;"SR.26.02.01.01 Columns {"&amp;COLUMN($I$1)&amp;"}"</f>
        <v>!!SR.26.02.01.01 Columns {9}</v>
      </c>
    </row>
    <row r="39" spans="2:15" ht="18.75">
      <c r="B39" s="88" t="s">
        <v>4877</v>
      </c>
      <c r="C39" s="87"/>
      <c r="D39" s="87"/>
      <c r="E39" s="87"/>
      <c r="F39" s="87"/>
      <c r="G39" s="87"/>
      <c r="H39" s="87"/>
      <c r="I39" s="87"/>
      <c r="J39" s="87"/>
      <c r="K39" s="87"/>
      <c r="L39" s="87"/>
    </row>
    <row r="41" spans="2:15">
      <c r="B41" t="s">
        <v>3110</v>
      </c>
      <c r="N41" s="13" t="str">
        <f>Show!$B$140&amp;"SR.26.02.01.02 Table label {"&amp;COLUMN($C$1)&amp;"}"</f>
        <v>!SR.26.02.01.02 Table label {3}</v>
      </c>
      <c r="O41" s="13" t="str">
        <f>Show!$B$140&amp;"SR.26.02.01.02 Table value {"&amp;COLUMN($D$1)&amp;"}"</f>
        <v>!SR.26.02.01.02 Table value {4}</v>
      </c>
    </row>
    <row r="42" spans="2:15">
      <c r="B42" t="s">
        <v>3111</v>
      </c>
    </row>
    <row r="43" spans="2:15">
      <c r="B43" s="40" t="s">
        <v>4622</v>
      </c>
      <c r="C43" s="53" t="s">
        <v>3113</v>
      </c>
      <c r="D43" s="51"/>
    </row>
    <row r="44" spans="2:15">
      <c r="B44" s="40" t="s">
        <v>3788</v>
      </c>
      <c r="C44" s="53" t="s">
        <v>3115</v>
      </c>
      <c r="D44" s="51"/>
    </row>
    <row r="45" spans="2:15">
      <c r="B45" s="40" t="s">
        <v>3114</v>
      </c>
      <c r="C45" s="53" t="s">
        <v>3323</v>
      </c>
      <c r="D45" s="50"/>
    </row>
    <row r="46" spans="2:15">
      <c r="N46" s="13" t="str">
        <f>Show!$B$140&amp;Show!$B$140&amp;"SR.26.02.01.02 Table label {"&amp;COLUMN($C$1)&amp;"}"</f>
        <v>!!SR.26.02.01.02 Table label {3}</v>
      </c>
      <c r="O46" s="13" t="str">
        <f>Show!$B$140&amp;Show!$B$140&amp;"SR.26.02.01.02 Table value {"&amp;COLUMN($D$1)&amp;"}"</f>
        <v>!!SR.26.02.01.02 Table value {4}</v>
      </c>
    </row>
    <row r="48" spans="2:15">
      <c r="D48" s="89" t="s">
        <v>2877</v>
      </c>
    </row>
    <row r="49" spans="2:15">
      <c r="D49" s="91"/>
    </row>
    <row r="50" spans="2:15">
      <c r="D50" s="55" t="s">
        <v>2574</v>
      </c>
    </row>
    <row r="51" spans="2:15">
      <c r="D51" s="45" t="s">
        <v>2879</v>
      </c>
      <c r="N51" s="13" t="str">
        <f>Show!$B$140&amp;"SR.26.02.01.02 Rows {"&amp;COLUMN($C$1)&amp;"}"&amp;"@ForceFilingCode:true"</f>
        <v>!SR.26.02.01.02 Rows {3}@ForceFilingCode:true</v>
      </c>
      <c r="O51" s="13" t="str">
        <f>Show!$B$140&amp;"SR.26.02.01.02 Columns {"&amp;COLUMN($D$1)&amp;"}"</f>
        <v>!SR.26.02.01.02 Columns {4}</v>
      </c>
    </row>
    <row r="52" spans="2:15">
      <c r="B52" s="43" t="s">
        <v>2880</v>
      </c>
      <c r="C52" s="44" t="s">
        <v>2878</v>
      </c>
      <c r="D52" s="46"/>
    </row>
    <row r="53" spans="2:15">
      <c r="B53" s="47" t="s">
        <v>4684</v>
      </c>
      <c r="C53" s="41" t="s">
        <v>2883</v>
      </c>
      <c r="D53" s="51"/>
    </row>
    <row r="55" spans="2:15">
      <c r="N55" s="13" t="str">
        <f>Show!$B$140&amp;Show!$B$140&amp;"SR.26.02.01.02 Rows {"&amp;COLUMN($C$1)&amp;"}"</f>
        <v>!!SR.26.02.01.02 Rows {3}</v>
      </c>
      <c r="O55" s="13" t="str">
        <f>Show!$B$140&amp;Show!$B$140&amp;"SR.26.02.01.02 Columns {"&amp;COLUMN($D$1)&amp;"}"</f>
        <v>!!SR.26.02.01.02 Columns {4}</v>
      </c>
    </row>
  </sheetData>
  <sheetProtection sheet="1" objects="1" scenarios="1"/>
  <mergeCells count="11">
    <mergeCell ref="B39:L39"/>
    <mergeCell ref="D48:D49"/>
    <mergeCell ref="B2:O2"/>
    <mergeCell ref="B5:L5"/>
    <mergeCell ref="D14:I15"/>
    <mergeCell ref="D16:D17"/>
    <mergeCell ref="E16:E17"/>
    <mergeCell ref="F16:F17"/>
    <mergeCell ref="G16:G17"/>
    <mergeCell ref="H16:H17"/>
    <mergeCell ref="I16:I17"/>
  </mergeCells>
  <dataValidations count="2">
    <dataValidation type="list" errorStyle="warning" allowBlank="1" showInputMessage="1" showErrorMessage="1" sqref="D9 D43" xr:uid="{543D33CA-8F86-4FDA-AB0F-0FDE95A47485}">
      <formula1>hier_AO_1</formula1>
    </dataValidation>
    <dataValidation type="list" errorStyle="warning" allowBlank="1" showInputMessage="1" showErrorMessage="1" sqref="D10 D44" xr:uid="{53CAD8A1-99A3-4D44-AF2B-F798A945D288}">
      <formula1>hier_PU_20</formula1>
    </dataValidation>
  </dataValidations>
  <pageMargins left="0.7" right="0.7" top="0.75" bottom="0.75" header="0.3" footer="0.3"/>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E7876-A308-4462-86D7-782ACD333CC3}">
  <sheetPr codeName="Blad145"/>
  <dimension ref="B2:P96"/>
  <sheetViews>
    <sheetView showGridLines="0" workbookViewId="0"/>
  </sheetViews>
  <sheetFormatPr defaultRowHeight="15"/>
  <cols>
    <col min="2" max="2" width="50.140625" bestFit="1" customWidth="1"/>
    <col min="4" max="8" width="15.7109375" customWidth="1"/>
  </cols>
  <sheetData>
    <row r="2" spans="2:16" ht="23.25">
      <c r="B2" s="86" t="s">
        <v>722</v>
      </c>
      <c r="C2" s="87"/>
      <c r="D2" s="87"/>
      <c r="E2" s="87"/>
      <c r="F2" s="87"/>
      <c r="G2" s="87"/>
      <c r="H2" s="87"/>
      <c r="I2" s="87"/>
      <c r="J2" s="87"/>
      <c r="K2" s="87"/>
      <c r="L2" s="87"/>
      <c r="M2" s="87"/>
      <c r="N2" s="87"/>
      <c r="O2" s="87"/>
    </row>
    <row r="5" spans="2:16" ht="18.75">
      <c r="B5" s="88" t="s">
        <v>4878</v>
      </c>
      <c r="C5" s="87"/>
      <c r="D5" s="87"/>
      <c r="E5" s="87"/>
      <c r="F5" s="87"/>
      <c r="G5" s="87"/>
      <c r="H5" s="87"/>
      <c r="I5" s="87"/>
      <c r="J5" s="87"/>
      <c r="K5" s="87"/>
      <c r="L5" s="87"/>
    </row>
    <row r="7" spans="2:16">
      <c r="B7" t="s">
        <v>3110</v>
      </c>
      <c r="O7" s="13" t="str">
        <f>Show!$B$141&amp;"S.26.03.01.01 Table label {"&amp;COLUMN($C$1)&amp;"}"</f>
        <v>!S.26.03.01.01 Table label {3}</v>
      </c>
      <c r="P7" s="13" t="str">
        <f>Show!$B$141&amp;"S.26.03.01.01 Table value {"&amp;COLUMN($D$1)&amp;"}"</f>
        <v>!S.26.03.01.01 Table value {4}</v>
      </c>
    </row>
    <row r="8" spans="2:16">
      <c r="B8" t="s">
        <v>3111</v>
      </c>
    </row>
    <row r="9" spans="2:16">
      <c r="B9" s="40" t="s">
        <v>4622</v>
      </c>
      <c r="C9" s="53" t="s">
        <v>3113</v>
      </c>
      <c r="D9" s="51"/>
    </row>
    <row r="10" spans="2:16">
      <c r="O10" s="13" t="str">
        <f>Show!$B$141&amp;Show!$B$141&amp;"S.26.03.01.01 Table label {"&amp;COLUMN($C$1)&amp;"}"</f>
        <v>!!S.26.03.01.01 Table label {3}</v>
      </c>
      <c r="P10" s="13" t="str">
        <f>Show!$B$141&amp;Show!$B$141&amp;"S.26.03.01.01 Table value {"&amp;COLUMN($D$1)&amp;"}"</f>
        <v>!!S.26.03.01.01 Table value {4}</v>
      </c>
    </row>
    <row r="12" spans="2:16">
      <c r="D12" s="92" t="s">
        <v>2877</v>
      </c>
      <c r="E12" s="93"/>
      <c r="F12" s="93"/>
      <c r="G12" s="93"/>
      <c r="H12" s="94"/>
    </row>
    <row r="13" spans="2:16">
      <c r="D13" s="95"/>
      <c r="E13" s="96"/>
      <c r="F13" s="96"/>
      <c r="G13" s="96"/>
      <c r="H13" s="97"/>
    </row>
    <row r="14" spans="2:16">
      <c r="D14" s="98" t="s">
        <v>4763</v>
      </c>
      <c r="E14" s="99"/>
      <c r="F14" s="98" t="s">
        <v>4764</v>
      </c>
      <c r="G14" s="100"/>
      <c r="H14" s="99"/>
    </row>
    <row r="15" spans="2:16" ht="90">
      <c r="D15" s="55" t="s">
        <v>3252</v>
      </c>
      <c r="E15" s="55" t="s">
        <v>2389</v>
      </c>
      <c r="F15" s="55" t="s">
        <v>3252</v>
      </c>
      <c r="G15" s="55" t="s">
        <v>4765</v>
      </c>
      <c r="H15" s="55" t="s">
        <v>4766</v>
      </c>
    </row>
    <row r="16" spans="2:16">
      <c r="D16" s="45" t="s">
        <v>3219</v>
      </c>
      <c r="E16" s="45" t="s">
        <v>3225</v>
      </c>
      <c r="F16" s="45" t="s">
        <v>3223</v>
      </c>
      <c r="G16" s="45" t="s">
        <v>3229</v>
      </c>
      <c r="H16" s="45" t="s">
        <v>3233</v>
      </c>
      <c r="O16" s="13" t="str">
        <f>Show!$B$141&amp;"S.26.03.01.01 Rows {"&amp;COLUMN($C$1)&amp;"}"&amp;"@ForceFilingCode:true"</f>
        <v>!S.26.03.01.01 Rows {3}@ForceFilingCode:true</v>
      </c>
      <c r="P16" s="13" t="str">
        <f>Show!$B$141&amp;"S.26.03.01.01 Columns {"&amp;COLUMN($D$1)&amp;"}"</f>
        <v>!S.26.03.01.01 Columns {4}</v>
      </c>
    </row>
    <row r="17" spans="2:16">
      <c r="B17" s="43" t="s">
        <v>2880</v>
      </c>
      <c r="C17" s="44" t="s">
        <v>2878</v>
      </c>
      <c r="D17" s="56"/>
      <c r="E17" s="66"/>
      <c r="F17" s="66"/>
      <c r="G17" s="66"/>
      <c r="H17" s="57"/>
    </row>
    <row r="18" spans="2:16">
      <c r="B18" s="47" t="s">
        <v>4879</v>
      </c>
      <c r="C18" s="41" t="s">
        <v>2899</v>
      </c>
      <c r="D18" s="60"/>
      <c r="E18" s="60"/>
      <c r="F18" s="60"/>
      <c r="G18" s="60"/>
      <c r="H18" s="60"/>
    </row>
    <row r="19" spans="2:16">
      <c r="B19" s="47" t="s">
        <v>4880</v>
      </c>
      <c r="C19" s="41" t="s">
        <v>2919</v>
      </c>
      <c r="D19" s="60"/>
      <c r="E19" s="60"/>
      <c r="F19" s="60"/>
      <c r="G19" s="60"/>
      <c r="H19" s="60"/>
    </row>
    <row r="20" spans="2:16">
      <c r="B20" s="47" t="s">
        <v>4881</v>
      </c>
      <c r="C20" s="41" t="s">
        <v>2939</v>
      </c>
      <c r="D20" s="63"/>
      <c r="E20" s="63"/>
      <c r="F20" s="63"/>
      <c r="G20" s="63"/>
      <c r="H20" s="63"/>
    </row>
    <row r="21" spans="2:16">
      <c r="B21" s="47" t="s">
        <v>4882</v>
      </c>
      <c r="C21" s="44" t="s">
        <v>2959</v>
      </c>
      <c r="D21" s="56"/>
      <c r="E21" s="56"/>
      <c r="F21" s="56"/>
      <c r="G21" s="56"/>
      <c r="H21" s="46"/>
    </row>
    <row r="22" spans="2:16">
      <c r="B22" s="49" t="s">
        <v>4883</v>
      </c>
      <c r="C22" s="41" t="s">
        <v>2961</v>
      </c>
      <c r="D22" s="60"/>
      <c r="E22" s="60"/>
      <c r="F22" s="60"/>
      <c r="G22" s="60"/>
      <c r="H22" s="60"/>
    </row>
    <row r="23" spans="2:16">
      <c r="B23" s="49" t="s">
        <v>4884</v>
      </c>
      <c r="C23" s="41" t="s">
        <v>2963</v>
      </c>
      <c r="D23" s="60"/>
      <c r="E23" s="60"/>
      <c r="F23" s="60"/>
      <c r="G23" s="60"/>
      <c r="H23" s="60"/>
    </row>
    <row r="24" spans="2:16">
      <c r="B24" s="49" t="s">
        <v>4885</v>
      </c>
      <c r="C24" s="41" t="s">
        <v>2965</v>
      </c>
      <c r="D24" s="60"/>
      <c r="E24" s="60"/>
      <c r="F24" s="60"/>
      <c r="G24" s="60"/>
      <c r="H24" s="60"/>
    </row>
    <row r="25" spans="2:16">
      <c r="B25" s="47" t="s">
        <v>4886</v>
      </c>
      <c r="C25" s="41" t="s">
        <v>2977</v>
      </c>
      <c r="D25" s="60"/>
      <c r="E25" s="60"/>
      <c r="F25" s="60"/>
      <c r="G25" s="60"/>
      <c r="H25" s="60"/>
    </row>
    <row r="26" spans="2:16">
      <c r="B26" s="47" t="s">
        <v>4887</v>
      </c>
      <c r="C26" s="41" t="s">
        <v>2997</v>
      </c>
      <c r="D26" s="60"/>
      <c r="E26" s="60"/>
      <c r="F26" s="60"/>
      <c r="G26" s="60"/>
      <c r="H26" s="60"/>
    </row>
    <row r="27" spans="2:16">
      <c r="B27" s="47" t="s">
        <v>4888</v>
      </c>
      <c r="C27" s="41" t="s">
        <v>3064</v>
      </c>
      <c r="D27" s="63"/>
      <c r="E27" s="63"/>
      <c r="F27" s="63"/>
      <c r="G27" s="63"/>
      <c r="H27" s="63"/>
    </row>
    <row r="28" spans="2:16">
      <c r="B28" s="47" t="s">
        <v>4889</v>
      </c>
      <c r="C28" s="44" t="s">
        <v>3120</v>
      </c>
      <c r="D28" s="58"/>
      <c r="E28" s="58"/>
      <c r="F28" s="58"/>
      <c r="G28" s="58"/>
      <c r="H28" s="48"/>
    </row>
    <row r="29" spans="2:16">
      <c r="B29" s="47" t="s">
        <v>4890</v>
      </c>
      <c r="C29" s="44" t="s">
        <v>3140</v>
      </c>
      <c r="D29" s="56"/>
      <c r="E29" s="56"/>
      <c r="F29" s="56"/>
      <c r="G29" s="56"/>
      <c r="H29" s="46"/>
    </row>
    <row r="31" spans="2:16">
      <c r="O31" s="13" t="str">
        <f>Show!$B$141&amp;Show!$B$141&amp;"S.26.03.01.01 Rows {"&amp;COLUMN($C$1)&amp;"}"</f>
        <v>!!S.26.03.01.01 Rows {3}</v>
      </c>
      <c r="P31" s="13" t="str">
        <f>Show!$B$141&amp;Show!$B$141&amp;"S.26.03.01.01 Columns {"&amp;COLUMN($H$1)&amp;"}"</f>
        <v>!!S.26.03.01.01 Columns {8}</v>
      </c>
    </row>
    <row r="33" spans="2:16" ht="18.75">
      <c r="B33" s="88" t="s">
        <v>4891</v>
      </c>
      <c r="C33" s="87"/>
      <c r="D33" s="87"/>
      <c r="E33" s="87"/>
      <c r="F33" s="87"/>
      <c r="G33" s="87"/>
      <c r="H33" s="87"/>
      <c r="I33" s="87"/>
      <c r="J33" s="87"/>
      <c r="K33" s="87"/>
      <c r="L33" s="87"/>
    </row>
    <row r="35" spans="2:16">
      <c r="B35" t="s">
        <v>3110</v>
      </c>
      <c r="O35" s="13" t="str">
        <f>Show!$B$141&amp;"S.26.03.01.02 Table label {"&amp;COLUMN($C$1)&amp;"}"</f>
        <v>!S.26.03.01.02 Table label {3}</v>
      </c>
      <c r="P35" s="13" t="str">
        <f>Show!$B$141&amp;"S.26.03.01.02 Table value {"&amp;COLUMN($D$1)&amp;"}"</f>
        <v>!S.26.03.01.02 Table value {4}</v>
      </c>
    </row>
    <row r="36" spans="2:16">
      <c r="B36" t="s">
        <v>3111</v>
      </c>
    </row>
    <row r="37" spans="2:16">
      <c r="B37" s="40" t="s">
        <v>4622</v>
      </c>
      <c r="C37" s="53" t="s">
        <v>3113</v>
      </c>
      <c r="D37" s="51"/>
    </row>
    <row r="38" spans="2:16">
      <c r="O38" s="13" t="str">
        <f>Show!$B$141&amp;Show!$B$141&amp;"S.26.03.01.02 Table label {"&amp;COLUMN($C$1)&amp;"}"</f>
        <v>!!S.26.03.01.02 Table label {3}</v>
      </c>
      <c r="P38" s="13" t="str">
        <f>Show!$B$141&amp;Show!$B$141&amp;"S.26.03.01.02 Table value {"&amp;COLUMN($D$1)&amp;"}"</f>
        <v>!!S.26.03.01.02 Table value {4}</v>
      </c>
    </row>
    <row r="40" spans="2:16">
      <c r="D40" s="89" t="s">
        <v>2877</v>
      </c>
    </row>
    <row r="41" spans="2:16">
      <c r="D41" s="91"/>
    </row>
    <row r="42" spans="2:16">
      <c r="D42" s="55" t="s">
        <v>4687</v>
      </c>
    </row>
    <row r="43" spans="2:16">
      <c r="D43" s="45" t="s">
        <v>3236</v>
      </c>
      <c r="O43" s="13" t="str">
        <f>Show!$B$141&amp;"S.26.03.01.02 Rows {"&amp;COLUMN($C$1)&amp;"}"&amp;"@ForceFilingCode:true"</f>
        <v>!S.26.03.01.02 Rows {3}@ForceFilingCode:true</v>
      </c>
      <c r="P43" s="13" t="str">
        <f>Show!$B$141&amp;"S.26.03.01.02 Columns {"&amp;COLUMN($D$1)&amp;"}"</f>
        <v>!S.26.03.01.02 Columns {4}</v>
      </c>
    </row>
    <row r="44" spans="2:16">
      <c r="B44" s="43" t="s">
        <v>2880</v>
      </c>
      <c r="C44" s="44" t="s">
        <v>2878</v>
      </c>
      <c r="D44" s="46"/>
    </row>
    <row r="45" spans="2:16">
      <c r="B45" s="47" t="s">
        <v>4892</v>
      </c>
      <c r="C45" s="41" t="s">
        <v>3315</v>
      </c>
      <c r="D45" s="70"/>
    </row>
    <row r="47" spans="2:16">
      <c r="O47" s="13" t="str">
        <f>Show!$B$141&amp;Show!$B$141&amp;"S.26.03.01.02 Rows {"&amp;COLUMN($C$1)&amp;"}"</f>
        <v>!!S.26.03.01.02 Rows {3}</v>
      </c>
      <c r="P47" s="13" t="str">
        <f>Show!$B$141&amp;Show!$B$141&amp;"S.26.03.01.02 Columns {"&amp;COLUMN($D$1)&amp;"}"</f>
        <v>!!S.26.03.01.02 Columns {4}</v>
      </c>
    </row>
    <row r="49" spans="2:16" ht="18.75">
      <c r="B49" s="88" t="s">
        <v>4893</v>
      </c>
      <c r="C49" s="87"/>
      <c r="D49" s="87"/>
      <c r="E49" s="87"/>
      <c r="F49" s="87"/>
      <c r="G49" s="87"/>
      <c r="H49" s="87"/>
      <c r="I49" s="87"/>
      <c r="J49" s="87"/>
      <c r="K49" s="87"/>
      <c r="L49" s="87"/>
    </row>
    <row r="51" spans="2:16">
      <c r="B51" t="s">
        <v>3110</v>
      </c>
      <c r="O51" s="13" t="str">
        <f>Show!$B$141&amp;"S.26.03.01.03 Table label {"&amp;COLUMN($C$1)&amp;"}"</f>
        <v>!S.26.03.01.03 Table label {3}</v>
      </c>
      <c r="P51" s="13" t="str">
        <f>Show!$B$141&amp;"S.26.03.01.03 Table value {"&amp;COLUMN($D$1)&amp;"}"</f>
        <v>!S.26.03.01.03 Table value {4}</v>
      </c>
    </row>
    <row r="52" spans="2:16">
      <c r="B52" t="s">
        <v>3111</v>
      </c>
    </row>
    <row r="53" spans="2:16">
      <c r="B53" s="40" t="s">
        <v>4622</v>
      </c>
      <c r="C53" s="53" t="s">
        <v>3113</v>
      </c>
      <c r="D53" s="51"/>
    </row>
    <row r="54" spans="2:16">
      <c r="O54" s="13" t="str">
        <f>Show!$B$141&amp;Show!$B$141&amp;"S.26.03.01.03 Table label {"&amp;COLUMN($C$1)&amp;"}"</f>
        <v>!!S.26.03.01.03 Table label {3}</v>
      </c>
      <c r="P54" s="13" t="str">
        <f>Show!$B$141&amp;Show!$B$141&amp;"S.26.03.01.03 Table value {"&amp;COLUMN($D$1)&amp;"}"</f>
        <v>!!S.26.03.01.03 Table value {4}</v>
      </c>
    </row>
    <row r="56" spans="2:16">
      <c r="D56" s="89" t="s">
        <v>2877</v>
      </c>
    </row>
    <row r="57" spans="2:16">
      <c r="D57" s="91"/>
    </row>
    <row r="58" spans="2:16" ht="30">
      <c r="D58" s="55" t="s">
        <v>2574</v>
      </c>
    </row>
    <row r="59" spans="2:16">
      <c r="D59" s="45" t="s">
        <v>2879</v>
      </c>
      <c r="O59" s="13" t="str">
        <f>Show!$B$141&amp;"S.26.03.01.03 Rows {"&amp;COLUMN($C$1)&amp;"}"&amp;"@ForceFilingCode:true"</f>
        <v>!S.26.03.01.03 Rows {3}@ForceFilingCode:true</v>
      </c>
      <c r="P59" s="13" t="str">
        <f>Show!$B$141&amp;"S.26.03.01.03 Columns {"&amp;COLUMN($D$1)&amp;"}"</f>
        <v>!S.26.03.01.03 Columns {4}</v>
      </c>
    </row>
    <row r="60" spans="2:16">
      <c r="B60" s="43" t="s">
        <v>2880</v>
      </c>
      <c r="C60" s="44" t="s">
        <v>2878</v>
      </c>
      <c r="D60" s="46"/>
    </row>
    <row r="61" spans="2:16">
      <c r="B61" s="47" t="s">
        <v>4894</v>
      </c>
      <c r="C61" s="41" t="s">
        <v>2883</v>
      </c>
      <c r="D61" s="51"/>
    </row>
    <row r="62" spans="2:16">
      <c r="B62" s="47" t="s">
        <v>4895</v>
      </c>
      <c r="C62" s="41" t="s">
        <v>2885</v>
      </c>
      <c r="D62" s="51"/>
    </row>
    <row r="63" spans="2:16">
      <c r="B63" s="47" t="s">
        <v>4896</v>
      </c>
      <c r="C63" s="41" t="s">
        <v>2887</v>
      </c>
      <c r="D63" s="51"/>
    </row>
    <row r="64" spans="2:16">
      <c r="B64" s="47" t="s">
        <v>4897</v>
      </c>
      <c r="C64" s="41" t="s">
        <v>2889</v>
      </c>
      <c r="D64" s="51"/>
    </row>
    <row r="65" spans="2:16">
      <c r="B65" s="47" t="s">
        <v>4898</v>
      </c>
      <c r="C65" s="41" t="s">
        <v>3078</v>
      </c>
      <c r="D65" s="51"/>
    </row>
    <row r="66" spans="2:16">
      <c r="B66" s="47" t="s">
        <v>4899</v>
      </c>
      <c r="C66" s="41" t="s">
        <v>2891</v>
      </c>
      <c r="D66" s="51"/>
    </row>
    <row r="68" spans="2:16">
      <c r="O68" s="13" t="str">
        <f>Show!$B$141&amp;Show!$B$141&amp;"S.26.03.01.03 Rows {"&amp;COLUMN($C$1)&amp;"}"</f>
        <v>!!S.26.03.01.03 Rows {3}</v>
      </c>
      <c r="P68" s="13" t="str">
        <f>Show!$B$141&amp;Show!$B$141&amp;"S.26.03.01.03 Columns {"&amp;COLUMN($D$1)&amp;"}"</f>
        <v>!!S.26.03.01.03 Columns {4}</v>
      </c>
    </row>
    <row r="70" spans="2:16" ht="18.75">
      <c r="B70" s="88" t="s">
        <v>4900</v>
      </c>
      <c r="C70" s="87"/>
      <c r="D70" s="87"/>
      <c r="E70" s="87"/>
      <c r="F70" s="87"/>
      <c r="G70" s="87"/>
      <c r="H70" s="87"/>
      <c r="I70" s="87"/>
      <c r="J70" s="87"/>
      <c r="K70" s="87"/>
      <c r="L70" s="87"/>
    </row>
    <row r="72" spans="2:16">
      <c r="B72" t="s">
        <v>3110</v>
      </c>
      <c r="O72" s="13" t="str">
        <f>Show!$B$141&amp;"S.26.03.01.04 Table label {"&amp;COLUMN($C$1)&amp;"}"</f>
        <v>!S.26.03.01.04 Table label {3}</v>
      </c>
      <c r="P72" s="13" t="str">
        <f>Show!$B$141&amp;"S.26.03.01.04 Table value {"&amp;COLUMN($D$1)&amp;"}"</f>
        <v>!S.26.03.01.04 Table value {4}</v>
      </c>
    </row>
    <row r="73" spans="2:16">
      <c r="B73" t="s">
        <v>3111</v>
      </c>
    </row>
    <row r="74" spans="2:16">
      <c r="B74" s="40" t="s">
        <v>4622</v>
      </c>
      <c r="C74" s="53" t="s">
        <v>3113</v>
      </c>
      <c r="D74" s="51"/>
    </row>
    <row r="75" spans="2:16">
      <c r="O75" s="13" t="str">
        <f>Show!$B$141&amp;Show!$B$141&amp;"S.26.03.01.04 Table label {"&amp;COLUMN($C$1)&amp;"}"</f>
        <v>!!S.26.03.01.04 Table label {3}</v>
      </c>
      <c r="P75" s="13" t="str">
        <f>Show!$B$141&amp;Show!$B$141&amp;"S.26.03.01.04 Table value {"&amp;COLUMN($D$1)&amp;"}"</f>
        <v>!!S.26.03.01.04 Table value {4}</v>
      </c>
    </row>
    <row r="77" spans="2:16">
      <c r="D77" s="92" t="s">
        <v>2877</v>
      </c>
      <c r="E77" s="94"/>
    </row>
    <row r="78" spans="2:16">
      <c r="D78" s="95"/>
      <c r="E78" s="97"/>
    </row>
    <row r="79" spans="2:16">
      <c r="D79" s="98" t="s">
        <v>4764</v>
      </c>
      <c r="E79" s="99"/>
    </row>
    <row r="80" spans="2:16" ht="45">
      <c r="D80" s="55" t="s">
        <v>4623</v>
      </c>
      <c r="E80" s="55" t="s">
        <v>4624</v>
      </c>
    </row>
    <row r="81" spans="2:16">
      <c r="D81" s="45" t="s">
        <v>3231</v>
      </c>
      <c r="E81" s="45" t="s">
        <v>3234</v>
      </c>
      <c r="O81" s="13" t="str">
        <f>Show!$B$141&amp;"S.26.03.01.04 Rows {"&amp;COLUMN($C$1)&amp;"}"&amp;"@ForceFilingCode:true"</f>
        <v>!S.26.03.01.04 Rows {3}@ForceFilingCode:true</v>
      </c>
      <c r="P81" s="13" t="str">
        <f>Show!$B$141&amp;"S.26.03.01.04 Columns {"&amp;COLUMN($D$1)&amp;"}"</f>
        <v>!S.26.03.01.04 Columns {4}</v>
      </c>
    </row>
    <row r="82" spans="2:16">
      <c r="B82" s="43" t="s">
        <v>2880</v>
      </c>
      <c r="C82" s="44" t="s">
        <v>2878</v>
      </c>
      <c r="D82" s="56"/>
      <c r="E82" s="57"/>
    </row>
    <row r="83" spans="2:16">
      <c r="B83" s="47" t="s">
        <v>4879</v>
      </c>
      <c r="C83" s="41" t="s">
        <v>2899</v>
      </c>
      <c r="D83" s="60"/>
      <c r="E83" s="60"/>
    </row>
    <row r="84" spans="2:16">
      <c r="B84" s="47" t="s">
        <v>4880</v>
      </c>
      <c r="C84" s="41" t="s">
        <v>2919</v>
      </c>
      <c r="D84" s="60"/>
      <c r="E84" s="60"/>
    </row>
    <row r="85" spans="2:16">
      <c r="B85" s="47" t="s">
        <v>4881</v>
      </c>
      <c r="C85" s="41" t="s">
        <v>2939</v>
      </c>
      <c r="D85" s="60"/>
      <c r="E85" s="60"/>
    </row>
    <row r="86" spans="2:16">
      <c r="B86" s="47" t="s">
        <v>4882</v>
      </c>
      <c r="C86" s="41" t="s">
        <v>2959</v>
      </c>
      <c r="D86" s="60"/>
      <c r="E86" s="60"/>
    </row>
    <row r="87" spans="2:16">
      <c r="B87" s="49" t="s">
        <v>4883</v>
      </c>
      <c r="C87" s="41" t="s">
        <v>2961</v>
      </c>
      <c r="D87" s="60"/>
      <c r="E87" s="60"/>
    </row>
    <row r="88" spans="2:16">
      <c r="B88" s="49" t="s">
        <v>4884</v>
      </c>
      <c r="C88" s="41" t="s">
        <v>2963</v>
      </c>
      <c r="D88" s="60"/>
      <c r="E88" s="60"/>
    </row>
    <row r="89" spans="2:16">
      <c r="B89" s="49" t="s">
        <v>4885</v>
      </c>
      <c r="C89" s="41" t="s">
        <v>2965</v>
      </c>
      <c r="D89" s="60"/>
      <c r="E89" s="60"/>
    </row>
    <row r="90" spans="2:16">
      <c r="B90" s="47" t="s">
        <v>4886</v>
      </c>
      <c r="C90" s="41" t="s">
        <v>2977</v>
      </c>
      <c r="D90" s="60"/>
      <c r="E90" s="60"/>
    </row>
    <row r="91" spans="2:16">
      <c r="B91" s="47" t="s">
        <v>4887</v>
      </c>
      <c r="C91" s="41" t="s">
        <v>2997</v>
      </c>
      <c r="D91" s="60"/>
      <c r="E91" s="60"/>
    </row>
    <row r="92" spans="2:16">
      <c r="B92" s="47" t="s">
        <v>4888</v>
      </c>
      <c r="C92" s="41" t="s">
        <v>3064</v>
      </c>
      <c r="D92" s="60"/>
      <c r="E92" s="60"/>
    </row>
    <row r="93" spans="2:16">
      <c r="B93" s="47" t="s">
        <v>4889</v>
      </c>
      <c r="C93" s="41" t="s">
        <v>3120</v>
      </c>
      <c r="D93" s="60"/>
      <c r="E93" s="60"/>
    </row>
    <row r="94" spans="2:16">
      <c r="B94" s="47" t="s">
        <v>4890</v>
      </c>
      <c r="C94" s="41" t="s">
        <v>3140</v>
      </c>
      <c r="D94" s="60"/>
      <c r="E94" s="60"/>
    </row>
    <row r="96" spans="2:16">
      <c r="O96" s="13" t="str">
        <f>Show!$B$141&amp;Show!$B$141&amp;"S.26.03.01.04 Rows {"&amp;COLUMN($C$1)&amp;"}"</f>
        <v>!!S.26.03.01.04 Rows {3}</v>
      </c>
      <c r="P96" s="13" t="str">
        <f>Show!$B$141&amp;Show!$B$141&amp;"S.26.03.01.04 Columns {"&amp;COLUMN($E$1)&amp;"}"</f>
        <v>!!S.26.03.01.04 Columns {5}</v>
      </c>
    </row>
  </sheetData>
  <sheetProtection sheet="1" objects="1" scenarios="1"/>
  <mergeCells count="12">
    <mergeCell ref="D79:E79"/>
    <mergeCell ref="B2:O2"/>
    <mergeCell ref="B5:L5"/>
    <mergeCell ref="D12:H13"/>
    <mergeCell ref="D14:E14"/>
    <mergeCell ref="F14:H14"/>
    <mergeCell ref="B33:L33"/>
    <mergeCell ref="D40:D41"/>
    <mergeCell ref="B49:L49"/>
    <mergeCell ref="D56:D57"/>
    <mergeCell ref="B70:L70"/>
    <mergeCell ref="D77:E78"/>
  </mergeCells>
  <dataValidations count="2">
    <dataValidation type="list" errorStyle="warning" allowBlank="1" showInputMessage="1" showErrorMessage="1" sqref="D9 D37 D53 D74" xr:uid="{D4875FEC-4C30-493C-A655-838464D9C8E9}">
      <formula1>hier_AO_1</formula1>
    </dataValidation>
    <dataValidation type="list" errorStyle="warning" allowBlank="1" showInputMessage="1" showErrorMessage="1" sqref="D61 D62 D63 D65 D66" xr:uid="{4159DEF3-80E2-421E-8A89-39677A990671}">
      <formula1>hier_AP_17</formula1>
    </dataValidation>
  </dataValidations>
  <pageMargins left="0.7" right="0.7" top="0.75" bottom="0.75" header="0.3" footer="0.3"/>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FD0E8-76AD-4F88-8D49-24C78E115B8D}">
  <sheetPr codeName="Blad146"/>
  <dimension ref="B2:P96"/>
  <sheetViews>
    <sheetView showGridLines="0" workbookViewId="0"/>
  </sheetViews>
  <sheetFormatPr defaultRowHeight="15"/>
  <cols>
    <col min="2" max="2" width="50.140625" bestFit="1" customWidth="1"/>
    <col min="4" max="8" width="15.7109375" customWidth="1"/>
  </cols>
  <sheetData>
    <row r="2" spans="2:16" ht="23.25">
      <c r="B2" s="86" t="s">
        <v>722</v>
      </c>
      <c r="C2" s="87"/>
      <c r="D2" s="87"/>
      <c r="E2" s="87"/>
      <c r="F2" s="87"/>
      <c r="G2" s="87"/>
      <c r="H2" s="87"/>
      <c r="I2" s="87"/>
      <c r="J2" s="87"/>
      <c r="K2" s="87"/>
      <c r="L2" s="87"/>
      <c r="M2" s="87"/>
      <c r="N2" s="87"/>
      <c r="O2" s="87"/>
    </row>
    <row r="5" spans="2:16" ht="18.75">
      <c r="B5" s="88" t="s">
        <v>4901</v>
      </c>
      <c r="C5" s="87"/>
      <c r="D5" s="87"/>
      <c r="E5" s="87"/>
      <c r="F5" s="87"/>
      <c r="G5" s="87"/>
      <c r="H5" s="87"/>
      <c r="I5" s="87"/>
      <c r="J5" s="87"/>
      <c r="K5" s="87"/>
      <c r="L5" s="87"/>
    </row>
    <row r="7" spans="2:16">
      <c r="B7" t="s">
        <v>3110</v>
      </c>
      <c r="O7" s="13" t="str">
        <f>Show!$B$142&amp;"S.26.03.04.01 Table label {"&amp;COLUMN($C$1)&amp;"}"</f>
        <v>!S.26.03.04.01 Table label {3}</v>
      </c>
      <c r="P7" s="13" t="str">
        <f>Show!$B$142&amp;"S.26.03.04.01 Table value {"&amp;COLUMN($D$1)&amp;"}"</f>
        <v>!S.26.03.04.01 Table value {4}</v>
      </c>
    </row>
    <row r="8" spans="2:16">
      <c r="B8" t="s">
        <v>3111</v>
      </c>
    </row>
    <row r="9" spans="2:16">
      <c r="B9" s="40" t="s">
        <v>4622</v>
      </c>
      <c r="C9" s="53" t="s">
        <v>3113</v>
      </c>
      <c r="D9" s="51"/>
    </row>
    <row r="10" spans="2:16">
      <c r="O10" s="13" t="str">
        <f>Show!$B$142&amp;Show!$B$142&amp;"S.26.03.04.01 Table label {"&amp;COLUMN($C$1)&amp;"}"</f>
        <v>!!S.26.03.04.01 Table label {3}</v>
      </c>
      <c r="P10" s="13" t="str">
        <f>Show!$B$142&amp;Show!$B$142&amp;"S.26.03.04.01 Table value {"&amp;COLUMN($D$1)&amp;"}"</f>
        <v>!!S.26.03.04.01 Table value {4}</v>
      </c>
    </row>
    <row r="12" spans="2:16">
      <c r="D12" s="92" t="s">
        <v>2877</v>
      </c>
      <c r="E12" s="93"/>
      <c r="F12" s="93"/>
      <c r="G12" s="93"/>
      <c r="H12" s="94"/>
    </row>
    <row r="13" spans="2:16">
      <c r="D13" s="95"/>
      <c r="E13" s="96"/>
      <c r="F13" s="96"/>
      <c r="G13" s="96"/>
      <c r="H13" s="97"/>
    </row>
    <row r="14" spans="2:16">
      <c r="D14" s="98" t="s">
        <v>4763</v>
      </c>
      <c r="E14" s="99"/>
      <c r="F14" s="98" t="s">
        <v>4764</v>
      </c>
      <c r="G14" s="100"/>
      <c r="H14" s="99"/>
    </row>
    <row r="15" spans="2:16" ht="90">
      <c r="D15" s="55" t="s">
        <v>3252</v>
      </c>
      <c r="E15" s="55" t="s">
        <v>2389</v>
      </c>
      <c r="F15" s="55" t="s">
        <v>3252</v>
      </c>
      <c r="G15" s="55" t="s">
        <v>4765</v>
      </c>
      <c r="H15" s="55" t="s">
        <v>4766</v>
      </c>
    </row>
    <row r="16" spans="2:16">
      <c r="D16" s="45" t="s">
        <v>3219</v>
      </c>
      <c r="E16" s="45" t="s">
        <v>3225</v>
      </c>
      <c r="F16" s="45" t="s">
        <v>3223</v>
      </c>
      <c r="G16" s="45" t="s">
        <v>3229</v>
      </c>
      <c r="H16" s="45" t="s">
        <v>3233</v>
      </c>
      <c r="O16" s="13" t="str">
        <f>Show!$B$142&amp;"S.26.03.04.01 Rows {"&amp;COLUMN($C$1)&amp;"}"&amp;"@ForceFilingCode:true"</f>
        <v>!S.26.03.04.01 Rows {3}@ForceFilingCode:true</v>
      </c>
      <c r="P16" s="13" t="str">
        <f>Show!$B$142&amp;"S.26.03.04.01 Columns {"&amp;COLUMN($D$1)&amp;"}"</f>
        <v>!S.26.03.04.01 Columns {4}</v>
      </c>
    </row>
    <row r="17" spans="2:16">
      <c r="B17" s="43" t="s">
        <v>2880</v>
      </c>
      <c r="C17" s="44" t="s">
        <v>2878</v>
      </c>
      <c r="D17" s="56"/>
      <c r="E17" s="66"/>
      <c r="F17" s="66"/>
      <c r="G17" s="66"/>
      <c r="H17" s="57"/>
    </row>
    <row r="18" spans="2:16">
      <c r="B18" s="47" t="s">
        <v>4879</v>
      </c>
      <c r="C18" s="41" t="s">
        <v>2899</v>
      </c>
      <c r="D18" s="60"/>
      <c r="E18" s="60"/>
      <c r="F18" s="60"/>
      <c r="G18" s="60"/>
      <c r="H18" s="60"/>
    </row>
    <row r="19" spans="2:16">
      <c r="B19" s="47" t="s">
        <v>4880</v>
      </c>
      <c r="C19" s="41" t="s">
        <v>2919</v>
      </c>
      <c r="D19" s="60"/>
      <c r="E19" s="60"/>
      <c r="F19" s="60"/>
      <c r="G19" s="60"/>
      <c r="H19" s="60"/>
    </row>
    <row r="20" spans="2:16">
      <c r="B20" s="47" t="s">
        <v>4881</v>
      </c>
      <c r="C20" s="41" t="s">
        <v>2939</v>
      </c>
      <c r="D20" s="63"/>
      <c r="E20" s="63"/>
      <c r="F20" s="63"/>
      <c r="G20" s="63"/>
      <c r="H20" s="63"/>
    </row>
    <row r="21" spans="2:16">
      <c r="B21" s="47" t="s">
        <v>4882</v>
      </c>
      <c r="C21" s="44" t="s">
        <v>2959</v>
      </c>
      <c r="D21" s="56"/>
      <c r="E21" s="56"/>
      <c r="F21" s="56"/>
      <c r="G21" s="56"/>
      <c r="H21" s="46"/>
    </row>
    <row r="22" spans="2:16">
      <c r="B22" s="49" t="s">
        <v>4883</v>
      </c>
      <c r="C22" s="41" t="s">
        <v>2961</v>
      </c>
      <c r="D22" s="60"/>
      <c r="E22" s="60"/>
      <c r="F22" s="60"/>
      <c r="G22" s="60"/>
      <c r="H22" s="60"/>
    </row>
    <row r="23" spans="2:16">
      <c r="B23" s="49" t="s">
        <v>4884</v>
      </c>
      <c r="C23" s="41" t="s">
        <v>2963</v>
      </c>
      <c r="D23" s="60"/>
      <c r="E23" s="60"/>
      <c r="F23" s="60"/>
      <c r="G23" s="60"/>
      <c r="H23" s="60"/>
    </row>
    <row r="24" spans="2:16">
      <c r="B24" s="49" t="s">
        <v>4885</v>
      </c>
      <c r="C24" s="41" t="s">
        <v>2965</v>
      </c>
      <c r="D24" s="60"/>
      <c r="E24" s="60"/>
      <c r="F24" s="60"/>
      <c r="G24" s="60"/>
      <c r="H24" s="60"/>
    </row>
    <row r="25" spans="2:16">
      <c r="B25" s="47" t="s">
        <v>4886</v>
      </c>
      <c r="C25" s="41" t="s">
        <v>2977</v>
      </c>
      <c r="D25" s="60"/>
      <c r="E25" s="60"/>
      <c r="F25" s="60"/>
      <c r="G25" s="60"/>
      <c r="H25" s="60"/>
    </row>
    <row r="26" spans="2:16">
      <c r="B26" s="47" t="s">
        <v>4887</v>
      </c>
      <c r="C26" s="41" t="s">
        <v>2997</v>
      </c>
      <c r="D26" s="60"/>
      <c r="E26" s="60"/>
      <c r="F26" s="60"/>
      <c r="G26" s="60"/>
      <c r="H26" s="60"/>
    </row>
    <row r="27" spans="2:16">
      <c r="B27" s="47" t="s">
        <v>4888</v>
      </c>
      <c r="C27" s="41" t="s">
        <v>3064</v>
      </c>
      <c r="D27" s="63"/>
      <c r="E27" s="63"/>
      <c r="F27" s="63"/>
      <c r="G27" s="63"/>
      <c r="H27" s="63"/>
    </row>
    <row r="28" spans="2:16">
      <c r="B28" s="47" t="s">
        <v>4889</v>
      </c>
      <c r="C28" s="44" t="s">
        <v>3120</v>
      </c>
      <c r="D28" s="58"/>
      <c r="E28" s="58"/>
      <c r="F28" s="58"/>
      <c r="G28" s="58"/>
      <c r="H28" s="48"/>
    </row>
    <row r="29" spans="2:16">
      <c r="B29" s="47" t="s">
        <v>4890</v>
      </c>
      <c r="C29" s="44" t="s">
        <v>3140</v>
      </c>
      <c r="D29" s="56"/>
      <c r="E29" s="56"/>
      <c r="F29" s="56"/>
      <c r="G29" s="56"/>
      <c r="H29" s="46"/>
    </row>
    <row r="31" spans="2:16">
      <c r="O31" s="13" t="str">
        <f>Show!$B$142&amp;Show!$B$142&amp;"S.26.03.04.01 Rows {"&amp;COLUMN($C$1)&amp;"}"</f>
        <v>!!S.26.03.04.01 Rows {3}</v>
      </c>
      <c r="P31" s="13" t="str">
        <f>Show!$B$142&amp;Show!$B$142&amp;"S.26.03.04.01 Columns {"&amp;COLUMN($H$1)&amp;"}"</f>
        <v>!!S.26.03.04.01 Columns {8}</v>
      </c>
    </row>
    <row r="33" spans="2:16" ht="18.75">
      <c r="B33" s="88" t="s">
        <v>4902</v>
      </c>
      <c r="C33" s="87"/>
      <c r="D33" s="87"/>
      <c r="E33" s="87"/>
      <c r="F33" s="87"/>
      <c r="G33" s="87"/>
      <c r="H33" s="87"/>
      <c r="I33" s="87"/>
      <c r="J33" s="87"/>
      <c r="K33" s="87"/>
      <c r="L33" s="87"/>
    </row>
    <row r="35" spans="2:16">
      <c r="B35" t="s">
        <v>3110</v>
      </c>
      <c r="O35" s="13" t="str">
        <f>Show!$B$142&amp;"S.26.03.04.02 Table label {"&amp;COLUMN($C$1)&amp;"}"</f>
        <v>!S.26.03.04.02 Table label {3}</v>
      </c>
      <c r="P35" s="13" t="str">
        <f>Show!$B$142&amp;"S.26.03.04.02 Table value {"&amp;COLUMN($D$1)&amp;"}"</f>
        <v>!S.26.03.04.02 Table value {4}</v>
      </c>
    </row>
    <row r="36" spans="2:16">
      <c r="B36" t="s">
        <v>3111</v>
      </c>
    </row>
    <row r="37" spans="2:16">
      <c r="B37" s="40" t="s">
        <v>4622</v>
      </c>
      <c r="C37" s="53" t="s">
        <v>3113</v>
      </c>
      <c r="D37" s="51"/>
    </row>
    <row r="38" spans="2:16">
      <c r="O38" s="13" t="str">
        <f>Show!$B$142&amp;Show!$B$142&amp;"S.26.03.04.02 Table label {"&amp;COLUMN($C$1)&amp;"}"</f>
        <v>!!S.26.03.04.02 Table label {3}</v>
      </c>
      <c r="P38" s="13" t="str">
        <f>Show!$B$142&amp;Show!$B$142&amp;"S.26.03.04.02 Table value {"&amp;COLUMN($D$1)&amp;"}"</f>
        <v>!!S.26.03.04.02 Table value {4}</v>
      </c>
    </row>
    <row r="40" spans="2:16">
      <c r="D40" s="89" t="s">
        <v>2877</v>
      </c>
    </row>
    <row r="41" spans="2:16">
      <c r="D41" s="91"/>
    </row>
    <row r="42" spans="2:16">
      <c r="D42" s="55" t="s">
        <v>4687</v>
      </c>
    </row>
    <row r="43" spans="2:16">
      <c r="D43" s="45" t="s">
        <v>3236</v>
      </c>
      <c r="O43" s="13" t="str">
        <f>Show!$B$142&amp;"S.26.03.04.02 Rows {"&amp;COLUMN($C$1)&amp;"}"&amp;"@ForceFilingCode:true"</f>
        <v>!S.26.03.04.02 Rows {3}@ForceFilingCode:true</v>
      </c>
      <c r="P43" s="13" t="str">
        <f>Show!$B$142&amp;"S.26.03.04.02 Columns {"&amp;COLUMN($D$1)&amp;"}"</f>
        <v>!S.26.03.04.02 Columns {4}</v>
      </c>
    </row>
    <row r="44" spans="2:16">
      <c r="B44" s="43" t="s">
        <v>2880</v>
      </c>
      <c r="C44" s="44" t="s">
        <v>2878</v>
      </c>
      <c r="D44" s="46"/>
    </row>
    <row r="45" spans="2:16">
      <c r="B45" s="47" t="s">
        <v>4892</v>
      </c>
      <c r="C45" s="41" t="s">
        <v>3315</v>
      </c>
      <c r="D45" s="70"/>
    </row>
    <row r="47" spans="2:16">
      <c r="O47" s="13" t="str">
        <f>Show!$B$142&amp;Show!$B$142&amp;"S.26.03.04.02 Rows {"&amp;COLUMN($C$1)&amp;"}"</f>
        <v>!!S.26.03.04.02 Rows {3}</v>
      </c>
      <c r="P47" s="13" t="str">
        <f>Show!$B$142&amp;Show!$B$142&amp;"S.26.03.04.02 Columns {"&amp;COLUMN($D$1)&amp;"}"</f>
        <v>!!S.26.03.04.02 Columns {4}</v>
      </c>
    </row>
    <row r="49" spans="2:16" ht="18.75">
      <c r="B49" s="88" t="s">
        <v>4903</v>
      </c>
      <c r="C49" s="87"/>
      <c r="D49" s="87"/>
      <c r="E49" s="87"/>
      <c r="F49" s="87"/>
      <c r="G49" s="87"/>
      <c r="H49" s="87"/>
      <c r="I49" s="87"/>
      <c r="J49" s="87"/>
      <c r="K49" s="87"/>
      <c r="L49" s="87"/>
    </row>
    <row r="51" spans="2:16">
      <c r="B51" t="s">
        <v>3110</v>
      </c>
      <c r="O51" s="13" t="str">
        <f>Show!$B$142&amp;"S.26.03.04.03 Table label {"&amp;COLUMN($C$1)&amp;"}"</f>
        <v>!S.26.03.04.03 Table label {3}</v>
      </c>
      <c r="P51" s="13" t="str">
        <f>Show!$B$142&amp;"S.26.03.04.03 Table value {"&amp;COLUMN($D$1)&amp;"}"</f>
        <v>!S.26.03.04.03 Table value {4}</v>
      </c>
    </row>
    <row r="52" spans="2:16">
      <c r="B52" t="s">
        <v>3111</v>
      </c>
    </row>
    <row r="53" spans="2:16">
      <c r="B53" s="40" t="s">
        <v>4622</v>
      </c>
      <c r="C53" s="53" t="s">
        <v>3113</v>
      </c>
      <c r="D53" s="51"/>
    </row>
    <row r="54" spans="2:16">
      <c r="O54" s="13" t="str">
        <f>Show!$B$142&amp;Show!$B$142&amp;"S.26.03.04.03 Table label {"&amp;COLUMN($C$1)&amp;"}"</f>
        <v>!!S.26.03.04.03 Table label {3}</v>
      </c>
      <c r="P54" s="13" t="str">
        <f>Show!$B$142&amp;Show!$B$142&amp;"S.26.03.04.03 Table value {"&amp;COLUMN($D$1)&amp;"}"</f>
        <v>!!S.26.03.04.03 Table value {4}</v>
      </c>
    </row>
    <row r="56" spans="2:16">
      <c r="D56" s="89" t="s">
        <v>2877</v>
      </c>
    </row>
    <row r="57" spans="2:16">
      <c r="D57" s="91"/>
    </row>
    <row r="58" spans="2:16" ht="30">
      <c r="D58" s="55" t="s">
        <v>2574</v>
      </c>
    </row>
    <row r="59" spans="2:16">
      <c r="D59" s="45" t="s">
        <v>2879</v>
      </c>
      <c r="O59" s="13" t="str">
        <f>Show!$B$142&amp;"S.26.03.04.03 Rows {"&amp;COLUMN($C$1)&amp;"}"&amp;"@ForceFilingCode:true"</f>
        <v>!S.26.03.04.03 Rows {3}@ForceFilingCode:true</v>
      </c>
      <c r="P59" s="13" t="str">
        <f>Show!$B$142&amp;"S.26.03.04.03 Columns {"&amp;COLUMN($D$1)&amp;"}"</f>
        <v>!S.26.03.04.03 Columns {4}</v>
      </c>
    </row>
    <row r="60" spans="2:16">
      <c r="B60" s="43" t="s">
        <v>2880</v>
      </c>
      <c r="C60" s="44" t="s">
        <v>2878</v>
      </c>
      <c r="D60" s="46"/>
    </row>
    <row r="61" spans="2:16">
      <c r="B61" s="47" t="s">
        <v>4894</v>
      </c>
      <c r="C61" s="41" t="s">
        <v>2883</v>
      </c>
      <c r="D61" s="51"/>
    </row>
    <row r="62" spans="2:16">
      <c r="B62" s="47" t="s">
        <v>4895</v>
      </c>
      <c r="C62" s="41" t="s">
        <v>2885</v>
      </c>
      <c r="D62" s="51"/>
    </row>
    <row r="63" spans="2:16">
      <c r="B63" s="47" t="s">
        <v>4896</v>
      </c>
      <c r="C63" s="41" t="s">
        <v>2887</v>
      </c>
      <c r="D63" s="51"/>
    </row>
    <row r="64" spans="2:16">
      <c r="B64" s="47" t="s">
        <v>4897</v>
      </c>
      <c r="C64" s="41" t="s">
        <v>2889</v>
      </c>
      <c r="D64" s="51"/>
    </row>
    <row r="65" spans="2:16">
      <c r="B65" s="47" t="s">
        <v>4898</v>
      </c>
      <c r="C65" s="41" t="s">
        <v>3078</v>
      </c>
      <c r="D65" s="51"/>
    </row>
    <row r="66" spans="2:16">
      <c r="B66" s="47" t="s">
        <v>4899</v>
      </c>
      <c r="C66" s="41" t="s">
        <v>2891</v>
      </c>
      <c r="D66" s="51"/>
    </row>
    <row r="68" spans="2:16">
      <c r="O68" s="13" t="str">
        <f>Show!$B$142&amp;Show!$B$142&amp;"S.26.03.04.03 Rows {"&amp;COLUMN($C$1)&amp;"}"</f>
        <v>!!S.26.03.04.03 Rows {3}</v>
      </c>
      <c r="P68" s="13" t="str">
        <f>Show!$B$142&amp;Show!$B$142&amp;"S.26.03.04.03 Columns {"&amp;COLUMN($D$1)&amp;"}"</f>
        <v>!!S.26.03.04.03 Columns {4}</v>
      </c>
    </row>
    <row r="70" spans="2:16" ht="18.75">
      <c r="B70" s="88" t="s">
        <v>4904</v>
      </c>
      <c r="C70" s="87"/>
      <c r="D70" s="87"/>
      <c r="E70" s="87"/>
      <c r="F70" s="87"/>
      <c r="G70" s="87"/>
      <c r="H70" s="87"/>
      <c r="I70" s="87"/>
      <c r="J70" s="87"/>
      <c r="K70" s="87"/>
      <c r="L70" s="87"/>
    </row>
    <row r="72" spans="2:16">
      <c r="B72" t="s">
        <v>3110</v>
      </c>
      <c r="O72" s="13" t="str">
        <f>Show!$B$142&amp;"S.26.03.04.04 Table label {"&amp;COLUMN($C$1)&amp;"}"</f>
        <v>!S.26.03.04.04 Table label {3}</v>
      </c>
      <c r="P72" s="13" t="str">
        <f>Show!$B$142&amp;"S.26.03.04.04 Table value {"&amp;COLUMN($D$1)&amp;"}"</f>
        <v>!S.26.03.04.04 Table value {4}</v>
      </c>
    </row>
    <row r="73" spans="2:16">
      <c r="B73" t="s">
        <v>3111</v>
      </c>
    </row>
    <row r="74" spans="2:16">
      <c r="B74" s="40" t="s">
        <v>4622</v>
      </c>
      <c r="C74" s="53" t="s">
        <v>3113</v>
      </c>
      <c r="D74" s="51"/>
    </row>
    <row r="75" spans="2:16">
      <c r="O75" s="13" t="str">
        <f>Show!$B$142&amp;Show!$B$142&amp;"S.26.03.04.04 Table label {"&amp;COLUMN($C$1)&amp;"}"</f>
        <v>!!S.26.03.04.04 Table label {3}</v>
      </c>
      <c r="P75" s="13" t="str">
        <f>Show!$B$142&amp;Show!$B$142&amp;"S.26.03.04.04 Table value {"&amp;COLUMN($D$1)&amp;"}"</f>
        <v>!!S.26.03.04.04 Table value {4}</v>
      </c>
    </row>
    <row r="77" spans="2:16">
      <c r="D77" s="92" t="s">
        <v>2877</v>
      </c>
      <c r="E77" s="94"/>
    </row>
    <row r="78" spans="2:16">
      <c r="D78" s="95"/>
      <c r="E78" s="97"/>
    </row>
    <row r="79" spans="2:16">
      <c r="D79" s="98" t="s">
        <v>4764</v>
      </c>
      <c r="E79" s="99"/>
    </row>
    <row r="80" spans="2:16" ht="45">
      <c r="D80" s="55" t="s">
        <v>4623</v>
      </c>
      <c r="E80" s="55" t="s">
        <v>4624</v>
      </c>
    </row>
    <row r="81" spans="2:16">
      <c r="D81" s="45" t="s">
        <v>3231</v>
      </c>
      <c r="E81" s="45" t="s">
        <v>3234</v>
      </c>
      <c r="O81" s="13" t="str">
        <f>Show!$B$142&amp;"S.26.03.04.04 Rows {"&amp;COLUMN($C$1)&amp;"}"&amp;"@ForceFilingCode:true"</f>
        <v>!S.26.03.04.04 Rows {3}@ForceFilingCode:true</v>
      </c>
      <c r="P81" s="13" t="str">
        <f>Show!$B$142&amp;"S.26.03.04.04 Columns {"&amp;COLUMN($D$1)&amp;"}"</f>
        <v>!S.26.03.04.04 Columns {4}</v>
      </c>
    </row>
    <row r="82" spans="2:16">
      <c r="B82" s="43" t="s">
        <v>2880</v>
      </c>
      <c r="C82" s="44" t="s">
        <v>2878</v>
      </c>
      <c r="D82" s="56"/>
      <c r="E82" s="57"/>
    </row>
    <row r="83" spans="2:16">
      <c r="B83" s="47" t="s">
        <v>4879</v>
      </c>
      <c r="C83" s="41" t="s">
        <v>2899</v>
      </c>
      <c r="D83" s="60"/>
      <c r="E83" s="60"/>
    </row>
    <row r="84" spans="2:16">
      <c r="B84" s="47" t="s">
        <v>4880</v>
      </c>
      <c r="C84" s="41" t="s">
        <v>2919</v>
      </c>
      <c r="D84" s="60"/>
      <c r="E84" s="60"/>
    </row>
    <row r="85" spans="2:16">
      <c r="B85" s="47" t="s">
        <v>4881</v>
      </c>
      <c r="C85" s="41" t="s">
        <v>2939</v>
      </c>
      <c r="D85" s="60"/>
      <c r="E85" s="60"/>
    </row>
    <row r="86" spans="2:16">
      <c r="B86" s="47" t="s">
        <v>4882</v>
      </c>
      <c r="C86" s="41" t="s">
        <v>2959</v>
      </c>
      <c r="D86" s="60"/>
      <c r="E86" s="60"/>
    </row>
    <row r="87" spans="2:16">
      <c r="B87" s="49" t="s">
        <v>4883</v>
      </c>
      <c r="C87" s="41" t="s">
        <v>2961</v>
      </c>
      <c r="D87" s="60"/>
      <c r="E87" s="60"/>
    </row>
    <row r="88" spans="2:16">
      <c r="B88" s="49" t="s">
        <v>4884</v>
      </c>
      <c r="C88" s="41" t="s">
        <v>2963</v>
      </c>
      <c r="D88" s="60"/>
      <c r="E88" s="60"/>
    </row>
    <row r="89" spans="2:16">
      <c r="B89" s="49" t="s">
        <v>4885</v>
      </c>
      <c r="C89" s="41" t="s">
        <v>2965</v>
      </c>
      <c r="D89" s="60"/>
      <c r="E89" s="60"/>
    </row>
    <row r="90" spans="2:16">
      <c r="B90" s="47" t="s">
        <v>4886</v>
      </c>
      <c r="C90" s="41" t="s">
        <v>2977</v>
      </c>
      <c r="D90" s="60"/>
      <c r="E90" s="60"/>
    </row>
    <row r="91" spans="2:16">
      <c r="B91" s="47" t="s">
        <v>4887</v>
      </c>
      <c r="C91" s="41" t="s">
        <v>2997</v>
      </c>
      <c r="D91" s="60"/>
      <c r="E91" s="60"/>
    </row>
    <row r="92" spans="2:16">
      <c r="B92" s="47" t="s">
        <v>4888</v>
      </c>
      <c r="C92" s="41" t="s">
        <v>3064</v>
      </c>
      <c r="D92" s="60"/>
      <c r="E92" s="60"/>
    </row>
    <row r="93" spans="2:16">
      <c r="B93" s="47" t="s">
        <v>4889</v>
      </c>
      <c r="C93" s="41" t="s">
        <v>3120</v>
      </c>
      <c r="D93" s="60"/>
      <c r="E93" s="60"/>
    </row>
    <row r="94" spans="2:16">
      <c r="B94" s="47" t="s">
        <v>4890</v>
      </c>
      <c r="C94" s="41" t="s">
        <v>3140</v>
      </c>
      <c r="D94" s="60"/>
      <c r="E94" s="60"/>
    </row>
    <row r="96" spans="2:16">
      <c r="O96" s="13" t="str">
        <f>Show!$B$142&amp;Show!$B$142&amp;"S.26.03.04.04 Rows {"&amp;COLUMN($C$1)&amp;"}"</f>
        <v>!!S.26.03.04.04 Rows {3}</v>
      </c>
      <c r="P96" s="13" t="str">
        <f>Show!$B$142&amp;Show!$B$142&amp;"S.26.03.04.04 Columns {"&amp;COLUMN($E$1)&amp;"}"</f>
        <v>!!S.26.03.04.04 Columns {5}</v>
      </c>
    </row>
  </sheetData>
  <sheetProtection sheet="1" objects="1" scenarios="1"/>
  <mergeCells count="12">
    <mergeCell ref="D79:E79"/>
    <mergeCell ref="B2:O2"/>
    <mergeCell ref="B5:L5"/>
    <mergeCell ref="D12:H13"/>
    <mergeCell ref="D14:E14"/>
    <mergeCell ref="F14:H14"/>
    <mergeCell ref="B33:L33"/>
    <mergeCell ref="D40:D41"/>
    <mergeCell ref="B49:L49"/>
    <mergeCell ref="D56:D57"/>
    <mergeCell ref="B70:L70"/>
    <mergeCell ref="D77:E78"/>
  </mergeCells>
  <dataValidations count="2">
    <dataValidation type="list" errorStyle="warning" allowBlank="1" showInputMessage="1" showErrorMessage="1" sqref="D9 D37 D53 D74" xr:uid="{0D1B3FA2-72EF-46A1-B2D8-81D0382E4978}">
      <formula1>hier_AO_1</formula1>
    </dataValidation>
    <dataValidation type="list" errorStyle="warning" allowBlank="1" showInputMessage="1" showErrorMessage="1" sqref="D61 D62 D63 D65 D66" xr:uid="{6BCE3EFA-331D-4D22-9B7B-5A28FDB8490D}">
      <formula1>hier_AP_17</formula1>
    </dataValidation>
  </dataValidations>
  <pageMargins left="0.7" right="0.7" top="0.75" bottom="0.75" header="0.3" footer="0.3"/>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79793-4E6A-4BF6-B54C-C23D49BFCD42}">
  <sheetPr codeName="Blad147"/>
  <dimension ref="B2:P104"/>
  <sheetViews>
    <sheetView showGridLines="0" workbookViewId="0"/>
  </sheetViews>
  <sheetFormatPr defaultRowHeight="15"/>
  <cols>
    <col min="2" max="2" width="61.85546875" bestFit="1" customWidth="1"/>
    <col min="4" max="8" width="15.7109375" customWidth="1"/>
  </cols>
  <sheetData>
    <row r="2" spans="2:16" ht="23.25">
      <c r="B2" s="86" t="s">
        <v>722</v>
      </c>
      <c r="C2" s="87"/>
      <c r="D2" s="87"/>
      <c r="E2" s="87"/>
      <c r="F2" s="87"/>
      <c r="G2" s="87"/>
      <c r="H2" s="87"/>
      <c r="I2" s="87"/>
      <c r="J2" s="87"/>
      <c r="K2" s="87"/>
      <c r="L2" s="87"/>
      <c r="M2" s="87"/>
      <c r="N2" s="87"/>
      <c r="O2" s="87"/>
    </row>
    <row r="5" spans="2:16" ht="18.75">
      <c r="B5" s="88" t="s">
        <v>4905</v>
      </c>
      <c r="C5" s="87"/>
      <c r="D5" s="87"/>
      <c r="E5" s="87"/>
      <c r="F5" s="87"/>
      <c r="G5" s="87"/>
      <c r="H5" s="87"/>
      <c r="I5" s="87"/>
      <c r="J5" s="87"/>
      <c r="K5" s="87"/>
      <c r="L5" s="87"/>
    </row>
    <row r="7" spans="2:16">
      <c r="B7" t="s">
        <v>3110</v>
      </c>
      <c r="O7" s="13" t="str">
        <f>Show!$B$143&amp;"SR.26.03.01.01 Table label {"&amp;COLUMN($C$1)&amp;"}"</f>
        <v>!SR.26.03.01.01 Table label {3}</v>
      </c>
      <c r="P7" s="13" t="str">
        <f>Show!$B$143&amp;"SR.26.03.01.01 Table value {"&amp;COLUMN($D$1)&amp;"}"</f>
        <v>!SR.26.03.01.01 Table value {4}</v>
      </c>
    </row>
    <row r="8" spans="2:16">
      <c r="B8" t="s">
        <v>3111</v>
      </c>
    </row>
    <row r="9" spans="2:16">
      <c r="B9" s="40" t="s">
        <v>4622</v>
      </c>
      <c r="C9" s="53" t="s">
        <v>3113</v>
      </c>
      <c r="D9" s="51"/>
    </row>
    <row r="10" spans="2:16">
      <c r="B10" s="40" t="s">
        <v>3788</v>
      </c>
      <c r="C10" s="53" t="s">
        <v>3115</v>
      </c>
      <c r="D10" s="51"/>
    </row>
    <row r="11" spans="2:16">
      <c r="B11" s="40" t="s">
        <v>3114</v>
      </c>
      <c r="C11" s="53" t="s">
        <v>3323</v>
      </c>
      <c r="D11" s="50"/>
    </row>
    <row r="12" spans="2:16">
      <c r="O12" s="13" t="str">
        <f>Show!$B$143&amp;Show!$B$143&amp;"SR.26.03.01.01 Table label {"&amp;COLUMN($C$1)&amp;"}"</f>
        <v>!!SR.26.03.01.01 Table label {3}</v>
      </c>
      <c r="P12" s="13" t="str">
        <f>Show!$B$143&amp;Show!$B$143&amp;"SR.26.03.01.01 Table value {"&amp;COLUMN($D$1)&amp;"}"</f>
        <v>!!SR.26.03.01.01 Table value {4}</v>
      </c>
    </row>
    <row r="14" spans="2:16">
      <c r="D14" s="92" t="s">
        <v>2877</v>
      </c>
      <c r="E14" s="93"/>
      <c r="F14" s="93"/>
      <c r="G14" s="93"/>
      <c r="H14" s="94"/>
    </row>
    <row r="15" spans="2:16">
      <c r="D15" s="95"/>
      <c r="E15" s="96"/>
      <c r="F15" s="96"/>
      <c r="G15" s="96"/>
      <c r="H15" s="97"/>
    </row>
    <row r="16" spans="2:16">
      <c r="D16" s="98" t="s">
        <v>4763</v>
      </c>
      <c r="E16" s="99"/>
      <c r="F16" s="98" t="s">
        <v>4764</v>
      </c>
      <c r="G16" s="100"/>
      <c r="H16" s="99"/>
    </row>
    <row r="17" spans="2:16" ht="90">
      <c r="D17" s="55" t="s">
        <v>3252</v>
      </c>
      <c r="E17" s="55" t="s">
        <v>2389</v>
      </c>
      <c r="F17" s="55" t="s">
        <v>3252</v>
      </c>
      <c r="G17" s="55" t="s">
        <v>4765</v>
      </c>
      <c r="H17" s="55" t="s">
        <v>4766</v>
      </c>
    </row>
    <row r="18" spans="2:16">
      <c r="D18" s="45" t="s">
        <v>3219</v>
      </c>
      <c r="E18" s="45" t="s">
        <v>3225</v>
      </c>
      <c r="F18" s="45" t="s">
        <v>3223</v>
      </c>
      <c r="G18" s="45" t="s">
        <v>3229</v>
      </c>
      <c r="H18" s="45" t="s">
        <v>3233</v>
      </c>
      <c r="O18" s="13" t="str">
        <f>Show!$B$143&amp;"SR.26.03.01.01 Rows {"&amp;COLUMN($C$1)&amp;"}"&amp;"@ForceFilingCode:true"</f>
        <v>!SR.26.03.01.01 Rows {3}@ForceFilingCode:true</v>
      </c>
      <c r="P18" s="13" t="str">
        <f>Show!$B$143&amp;"SR.26.03.01.01 Columns {"&amp;COLUMN($D$1)&amp;"}"</f>
        <v>!SR.26.03.01.01 Columns {4}</v>
      </c>
    </row>
    <row r="19" spans="2:16">
      <c r="B19" s="43" t="s">
        <v>2880</v>
      </c>
      <c r="C19" s="44" t="s">
        <v>2878</v>
      </c>
      <c r="D19" s="56"/>
      <c r="E19" s="66"/>
      <c r="F19" s="66"/>
      <c r="G19" s="66"/>
      <c r="H19" s="57"/>
    </row>
    <row r="20" spans="2:16">
      <c r="B20" s="47" t="s">
        <v>4879</v>
      </c>
      <c r="C20" s="41" t="s">
        <v>2899</v>
      </c>
      <c r="D20" s="60"/>
      <c r="E20" s="60"/>
      <c r="F20" s="60"/>
      <c r="G20" s="60"/>
      <c r="H20" s="60"/>
    </row>
    <row r="21" spans="2:16">
      <c r="B21" s="47" t="s">
        <v>4880</v>
      </c>
      <c r="C21" s="41" t="s">
        <v>2919</v>
      </c>
      <c r="D21" s="60"/>
      <c r="E21" s="60"/>
      <c r="F21" s="60"/>
      <c r="G21" s="60"/>
      <c r="H21" s="60"/>
    </row>
    <row r="22" spans="2:16">
      <c r="B22" s="47" t="s">
        <v>4881</v>
      </c>
      <c r="C22" s="41" t="s">
        <v>2939</v>
      </c>
      <c r="D22" s="63"/>
      <c r="E22" s="63"/>
      <c r="F22" s="63"/>
      <c r="G22" s="63"/>
      <c r="H22" s="63"/>
    </row>
    <row r="23" spans="2:16">
      <c r="B23" s="47" t="s">
        <v>4882</v>
      </c>
      <c r="C23" s="44" t="s">
        <v>2959</v>
      </c>
      <c r="D23" s="56"/>
      <c r="E23" s="56"/>
      <c r="F23" s="56"/>
      <c r="G23" s="56"/>
      <c r="H23" s="46"/>
    </row>
    <row r="24" spans="2:16">
      <c r="B24" s="49" t="s">
        <v>4883</v>
      </c>
      <c r="C24" s="41" t="s">
        <v>2961</v>
      </c>
      <c r="D24" s="60"/>
      <c r="E24" s="60"/>
      <c r="F24" s="60"/>
      <c r="G24" s="60"/>
      <c r="H24" s="60"/>
    </row>
    <row r="25" spans="2:16">
      <c r="B25" s="49" t="s">
        <v>4884</v>
      </c>
      <c r="C25" s="41" t="s">
        <v>2963</v>
      </c>
      <c r="D25" s="60"/>
      <c r="E25" s="60"/>
      <c r="F25" s="60"/>
      <c r="G25" s="60"/>
      <c r="H25" s="60"/>
    </row>
    <row r="26" spans="2:16">
      <c r="B26" s="49" t="s">
        <v>4885</v>
      </c>
      <c r="C26" s="41" t="s">
        <v>2965</v>
      </c>
      <c r="D26" s="60"/>
      <c r="E26" s="60"/>
      <c r="F26" s="60"/>
      <c r="G26" s="60"/>
      <c r="H26" s="60"/>
    </row>
    <row r="27" spans="2:16">
      <c r="B27" s="47" t="s">
        <v>4886</v>
      </c>
      <c r="C27" s="41" t="s">
        <v>2977</v>
      </c>
      <c r="D27" s="60"/>
      <c r="E27" s="60"/>
      <c r="F27" s="60"/>
      <c r="G27" s="60"/>
      <c r="H27" s="60"/>
    </row>
    <row r="28" spans="2:16">
      <c r="B28" s="47" t="s">
        <v>4887</v>
      </c>
      <c r="C28" s="41" t="s">
        <v>2997</v>
      </c>
      <c r="D28" s="60"/>
      <c r="E28" s="60"/>
      <c r="F28" s="60"/>
      <c r="G28" s="60"/>
      <c r="H28" s="60"/>
    </row>
    <row r="29" spans="2:16">
      <c r="B29" s="47" t="s">
        <v>4888</v>
      </c>
      <c r="C29" s="41" t="s">
        <v>3064</v>
      </c>
      <c r="D29" s="63"/>
      <c r="E29" s="63"/>
      <c r="F29" s="63"/>
      <c r="G29" s="63"/>
      <c r="H29" s="63"/>
    </row>
    <row r="30" spans="2:16">
      <c r="B30" s="47" t="s">
        <v>4889</v>
      </c>
      <c r="C30" s="44" t="s">
        <v>3120</v>
      </c>
      <c r="D30" s="58"/>
      <c r="E30" s="58"/>
      <c r="F30" s="58"/>
      <c r="G30" s="58"/>
      <c r="H30" s="48"/>
    </row>
    <row r="31" spans="2:16">
      <c r="B31" s="47" t="s">
        <v>4890</v>
      </c>
      <c r="C31" s="44" t="s">
        <v>3140</v>
      </c>
      <c r="D31" s="56"/>
      <c r="E31" s="56"/>
      <c r="F31" s="56"/>
      <c r="G31" s="56"/>
      <c r="H31" s="46"/>
    </row>
    <row r="33" spans="2:16">
      <c r="O33" s="13" t="str">
        <f>Show!$B$143&amp;Show!$B$143&amp;"SR.26.03.01.01 Rows {"&amp;COLUMN($C$1)&amp;"}"</f>
        <v>!!SR.26.03.01.01 Rows {3}</v>
      </c>
      <c r="P33" s="13" t="str">
        <f>Show!$B$143&amp;Show!$B$143&amp;"SR.26.03.01.01 Columns {"&amp;COLUMN($H$1)&amp;"}"</f>
        <v>!!SR.26.03.01.01 Columns {8}</v>
      </c>
    </row>
    <row r="35" spans="2:16" ht="18.75">
      <c r="B35" s="88" t="s">
        <v>4906</v>
      </c>
      <c r="C35" s="87"/>
      <c r="D35" s="87"/>
      <c r="E35" s="87"/>
      <c r="F35" s="87"/>
      <c r="G35" s="87"/>
      <c r="H35" s="87"/>
      <c r="I35" s="87"/>
      <c r="J35" s="87"/>
      <c r="K35" s="87"/>
      <c r="L35" s="87"/>
    </row>
    <row r="37" spans="2:16">
      <c r="B37" t="s">
        <v>3110</v>
      </c>
      <c r="O37" s="13" t="str">
        <f>Show!$B$143&amp;"SR.26.03.01.02 Table label {"&amp;COLUMN($C$1)&amp;"}"</f>
        <v>!SR.26.03.01.02 Table label {3}</v>
      </c>
      <c r="P37" s="13" t="str">
        <f>Show!$B$143&amp;"SR.26.03.01.02 Table value {"&amp;COLUMN($D$1)&amp;"}"</f>
        <v>!SR.26.03.01.02 Table value {4}</v>
      </c>
    </row>
    <row r="38" spans="2:16">
      <c r="B38" t="s">
        <v>3111</v>
      </c>
    </row>
    <row r="39" spans="2:16">
      <c r="B39" s="40" t="s">
        <v>4622</v>
      </c>
      <c r="C39" s="53" t="s">
        <v>3113</v>
      </c>
      <c r="D39" s="51"/>
    </row>
    <row r="40" spans="2:16">
      <c r="B40" s="40" t="s">
        <v>3788</v>
      </c>
      <c r="C40" s="53" t="s">
        <v>3115</v>
      </c>
      <c r="D40" s="51"/>
    </row>
    <row r="41" spans="2:16">
      <c r="B41" s="40" t="s">
        <v>3114</v>
      </c>
      <c r="C41" s="53" t="s">
        <v>3323</v>
      </c>
      <c r="D41" s="50"/>
    </row>
    <row r="42" spans="2:16">
      <c r="O42" s="13" t="str">
        <f>Show!$B$143&amp;Show!$B$143&amp;"SR.26.03.01.02 Table label {"&amp;COLUMN($C$1)&amp;"}"</f>
        <v>!!SR.26.03.01.02 Table label {3}</v>
      </c>
      <c r="P42" s="13" t="str">
        <f>Show!$B$143&amp;Show!$B$143&amp;"SR.26.03.01.02 Table value {"&amp;COLUMN($D$1)&amp;"}"</f>
        <v>!!SR.26.03.01.02 Table value {4}</v>
      </c>
    </row>
    <row r="44" spans="2:16">
      <c r="D44" s="89" t="s">
        <v>2877</v>
      </c>
    </row>
    <row r="45" spans="2:16">
      <c r="D45" s="91"/>
    </row>
    <row r="46" spans="2:16">
      <c r="D46" s="55" t="s">
        <v>4687</v>
      </c>
    </row>
    <row r="47" spans="2:16">
      <c r="D47" s="45" t="s">
        <v>3236</v>
      </c>
      <c r="O47" s="13" t="str">
        <f>Show!$B$143&amp;"SR.26.03.01.02 Rows {"&amp;COLUMN($C$1)&amp;"}"&amp;"@ForceFilingCode:true"</f>
        <v>!SR.26.03.01.02 Rows {3}@ForceFilingCode:true</v>
      </c>
      <c r="P47" s="13" t="str">
        <f>Show!$B$143&amp;"SR.26.03.01.02 Columns {"&amp;COLUMN($D$1)&amp;"}"</f>
        <v>!SR.26.03.01.02 Columns {4}</v>
      </c>
    </row>
    <row r="48" spans="2:16">
      <c r="B48" s="43" t="s">
        <v>2880</v>
      </c>
      <c r="C48" s="44" t="s">
        <v>2878</v>
      </c>
      <c r="D48" s="46"/>
    </row>
    <row r="49" spans="2:16">
      <c r="B49" s="47" t="s">
        <v>4892</v>
      </c>
      <c r="C49" s="41" t="s">
        <v>3315</v>
      </c>
      <c r="D49" s="70"/>
    </row>
    <row r="51" spans="2:16">
      <c r="O51" s="13" t="str">
        <f>Show!$B$143&amp;Show!$B$143&amp;"SR.26.03.01.02 Rows {"&amp;COLUMN($C$1)&amp;"}"</f>
        <v>!!SR.26.03.01.02 Rows {3}</v>
      </c>
      <c r="P51" s="13" t="str">
        <f>Show!$B$143&amp;Show!$B$143&amp;"SR.26.03.01.02 Columns {"&amp;COLUMN($D$1)&amp;"}"</f>
        <v>!!SR.26.03.01.02 Columns {4}</v>
      </c>
    </row>
    <row r="53" spans="2:16" ht="18.75">
      <c r="B53" s="88" t="s">
        <v>4907</v>
      </c>
      <c r="C53" s="87"/>
      <c r="D53" s="87"/>
      <c r="E53" s="87"/>
      <c r="F53" s="87"/>
      <c r="G53" s="87"/>
      <c r="H53" s="87"/>
      <c r="I53" s="87"/>
      <c r="J53" s="87"/>
      <c r="K53" s="87"/>
      <c r="L53" s="87"/>
    </row>
    <row r="55" spans="2:16">
      <c r="B55" t="s">
        <v>3110</v>
      </c>
      <c r="O55" s="13" t="str">
        <f>Show!$B$143&amp;"SR.26.03.01.03 Table label {"&amp;COLUMN($C$1)&amp;"}"</f>
        <v>!SR.26.03.01.03 Table label {3}</v>
      </c>
      <c r="P55" s="13" t="str">
        <f>Show!$B$143&amp;"SR.26.03.01.03 Table value {"&amp;COLUMN($D$1)&amp;"}"</f>
        <v>!SR.26.03.01.03 Table value {4}</v>
      </c>
    </row>
    <row r="56" spans="2:16">
      <c r="B56" t="s">
        <v>3111</v>
      </c>
    </row>
    <row r="57" spans="2:16">
      <c r="B57" s="40" t="s">
        <v>4622</v>
      </c>
      <c r="C57" s="53" t="s">
        <v>3113</v>
      </c>
      <c r="D57" s="51"/>
    </row>
    <row r="58" spans="2:16">
      <c r="B58" s="40" t="s">
        <v>3788</v>
      </c>
      <c r="C58" s="53" t="s">
        <v>3115</v>
      </c>
      <c r="D58" s="51"/>
    </row>
    <row r="59" spans="2:16">
      <c r="B59" s="40" t="s">
        <v>3114</v>
      </c>
      <c r="C59" s="53" t="s">
        <v>3323</v>
      </c>
      <c r="D59" s="50"/>
    </row>
    <row r="60" spans="2:16">
      <c r="O60" s="13" t="str">
        <f>Show!$B$143&amp;Show!$B$143&amp;"SR.26.03.01.03 Table label {"&amp;COLUMN($C$1)&amp;"}"</f>
        <v>!!SR.26.03.01.03 Table label {3}</v>
      </c>
      <c r="P60" s="13" t="str">
        <f>Show!$B$143&amp;Show!$B$143&amp;"SR.26.03.01.03 Table value {"&amp;COLUMN($D$1)&amp;"}"</f>
        <v>!!SR.26.03.01.03 Table value {4}</v>
      </c>
    </row>
    <row r="62" spans="2:16">
      <c r="D62" s="89" t="s">
        <v>2877</v>
      </c>
    </row>
    <row r="63" spans="2:16">
      <c r="D63" s="91"/>
    </row>
    <row r="64" spans="2:16" ht="30">
      <c r="D64" s="55" t="s">
        <v>2574</v>
      </c>
    </row>
    <row r="65" spans="2:16">
      <c r="D65" s="45" t="s">
        <v>2879</v>
      </c>
      <c r="O65" s="13" t="str">
        <f>Show!$B$143&amp;"SR.26.03.01.03 Rows {"&amp;COLUMN($C$1)&amp;"}"&amp;"@ForceFilingCode:true"</f>
        <v>!SR.26.03.01.03 Rows {3}@ForceFilingCode:true</v>
      </c>
      <c r="P65" s="13" t="str">
        <f>Show!$B$143&amp;"SR.26.03.01.03 Columns {"&amp;COLUMN($D$1)&amp;"}"</f>
        <v>!SR.26.03.01.03 Columns {4}</v>
      </c>
    </row>
    <row r="66" spans="2:16">
      <c r="B66" s="43" t="s">
        <v>2880</v>
      </c>
      <c r="C66" s="44" t="s">
        <v>2878</v>
      </c>
      <c r="D66" s="46"/>
    </row>
    <row r="67" spans="2:16">
      <c r="B67" s="47" t="s">
        <v>4894</v>
      </c>
      <c r="C67" s="41" t="s">
        <v>2883</v>
      </c>
      <c r="D67" s="51"/>
    </row>
    <row r="68" spans="2:16">
      <c r="B68" s="47" t="s">
        <v>4895</v>
      </c>
      <c r="C68" s="41" t="s">
        <v>2885</v>
      </c>
      <c r="D68" s="51"/>
    </row>
    <row r="69" spans="2:16">
      <c r="B69" s="47" t="s">
        <v>4896</v>
      </c>
      <c r="C69" s="41" t="s">
        <v>2887</v>
      </c>
      <c r="D69" s="51"/>
    </row>
    <row r="70" spans="2:16">
      <c r="B70" s="47" t="s">
        <v>4897</v>
      </c>
      <c r="C70" s="41" t="s">
        <v>2889</v>
      </c>
      <c r="D70" s="51"/>
    </row>
    <row r="71" spans="2:16">
      <c r="B71" s="47" t="s">
        <v>4898</v>
      </c>
      <c r="C71" s="41" t="s">
        <v>3078</v>
      </c>
      <c r="D71" s="51"/>
    </row>
    <row r="72" spans="2:16">
      <c r="B72" s="47" t="s">
        <v>4899</v>
      </c>
      <c r="C72" s="41" t="s">
        <v>2891</v>
      </c>
      <c r="D72" s="51"/>
    </row>
    <row r="74" spans="2:16">
      <c r="O74" s="13" t="str">
        <f>Show!$B$143&amp;Show!$B$143&amp;"SR.26.03.01.03 Rows {"&amp;COLUMN($C$1)&amp;"}"</f>
        <v>!!SR.26.03.01.03 Rows {3}</v>
      </c>
      <c r="P74" s="13" t="str">
        <f>Show!$B$143&amp;Show!$B$143&amp;"SR.26.03.01.03 Columns {"&amp;COLUMN($D$1)&amp;"}"</f>
        <v>!!SR.26.03.01.03 Columns {4}</v>
      </c>
    </row>
    <row r="76" spans="2:16" ht="18.75">
      <c r="B76" s="88" t="s">
        <v>4908</v>
      </c>
      <c r="C76" s="87"/>
      <c r="D76" s="87"/>
      <c r="E76" s="87"/>
      <c r="F76" s="87"/>
      <c r="G76" s="87"/>
      <c r="H76" s="87"/>
      <c r="I76" s="87"/>
      <c r="J76" s="87"/>
      <c r="K76" s="87"/>
      <c r="L76" s="87"/>
    </row>
    <row r="78" spans="2:16">
      <c r="B78" t="s">
        <v>3110</v>
      </c>
      <c r="O78" s="13" t="str">
        <f>Show!$B$143&amp;"SR.26.03.01.04 Table label {"&amp;COLUMN($C$1)&amp;"}"</f>
        <v>!SR.26.03.01.04 Table label {3}</v>
      </c>
      <c r="P78" s="13" t="str">
        <f>Show!$B$143&amp;"SR.26.03.01.04 Table value {"&amp;COLUMN($D$1)&amp;"}"</f>
        <v>!SR.26.03.01.04 Table value {4}</v>
      </c>
    </row>
    <row r="79" spans="2:16">
      <c r="B79" t="s">
        <v>3111</v>
      </c>
    </row>
    <row r="80" spans="2:16">
      <c r="B80" s="40" t="s">
        <v>4622</v>
      </c>
      <c r="C80" s="53" t="s">
        <v>3113</v>
      </c>
      <c r="D80" s="51"/>
    </row>
    <row r="81" spans="2:16">
      <c r="B81" s="40" t="s">
        <v>3788</v>
      </c>
      <c r="C81" s="53" t="s">
        <v>3115</v>
      </c>
      <c r="D81" s="51"/>
    </row>
    <row r="82" spans="2:16">
      <c r="B82" s="40" t="s">
        <v>3114</v>
      </c>
      <c r="C82" s="53" t="s">
        <v>3323</v>
      </c>
      <c r="D82" s="50"/>
    </row>
    <row r="83" spans="2:16">
      <c r="O83" s="13" t="str">
        <f>Show!$B$143&amp;Show!$B$143&amp;"SR.26.03.01.04 Table label {"&amp;COLUMN($C$1)&amp;"}"</f>
        <v>!!SR.26.03.01.04 Table label {3}</v>
      </c>
      <c r="P83" s="13" t="str">
        <f>Show!$B$143&amp;Show!$B$143&amp;"SR.26.03.01.04 Table value {"&amp;COLUMN($D$1)&amp;"}"</f>
        <v>!!SR.26.03.01.04 Table value {4}</v>
      </c>
    </row>
    <row r="85" spans="2:16">
      <c r="D85" s="92" t="s">
        <v>2877</v>
      </c>
      <c r="E85" s="94"/>
    </row>
    <row r="86" spans="2:16">
      <c r="D86" s="95"/>
      <c r="E86" s="97"/>
    </row>
    <row r="87" spans="2:16">
      <c r="D87" s="98" t="s">
        <v>4764</v>
      </c>
      <c r="E87" s="99"/>
    </row>
    <row r="88" spans="2:16" ht="45">
      <c r="D88" s="55" t="s">
        <v>4623</v>
      </c>
      <c r="E88" s="55" t="s">
        <v>4624</v>
      </c>
    </row>
    <row r="89" spans="2:16">
      <c r="D89" s="45" t="s">
        <v>3231</v>
      </c>
      <c r="E89" s="45" t="s">
        <v>3234</v>
      </c>
      <c r="O89" s="13" t="str">
        <f>Show!$B$143&amp;"SR.26.03.01.04 Rows {"&amp;COLUMN($C$1)&amp;"}"&amp;"@ForceFilingCode:true"</f>
        <v>!SR.26.03.01.04 Rows {3}@ForceFilingCode:true</v>
      </c>
      <c r="P89" s="13" t="str">
        <f>Show!$B$143&amp;"SR.26.03.01.04 Columns {"&amp;COLUMN($D$1)&amp;"}"</f>
        <v>!SR.26.03.01.04 Columns {4}</v>
      </c>
    </row>
    <row r="90" spans="2:16">
      <c r="B90" s="43" t="s">
        <v>2880</v>
      </c>
      <c r="C90" s="44" t="s">
        <v>2878</v>
      </c>
      <c r="D90" s="56"/>
      <c r="E90" s="57"/>
    </row>
    <row r="91" spans="2:16">
      <c r="B91" s="47" t="s">
        <v>4879</v>
      </c>
      <c r="C91" s="41" t="s">
        <v>2899</v>
      </c>
      <c r="D91" s="60"/>
      <c r="E91" s="60"/>
    </row>
    <row r="92" spans="2:16">
      <c r="B92" s="47" t="s">
        <v>4880</v>
      </c>
      <c r="C92" s="41" t="s">
        <v>2919</v>
      </c>
      <c r="D92" s="60"/>
      <c r="E92" s="60"/>
    </row>
    <row r="93" spans="2:16">
      <c r="B93" s="47" t="s">
        <v>4881</v>
      </c>
      <c r="C93" s="41" t="s">
        <v>2939</v>
      </c>
      <c r="D93" s="60"/>
      <c r="E93" s="60"/>
    </row>
    <row r="94" spans="2:16">
      <c r="B94" s="47" t="s">
        <v>4882</v>
      </c>
      <c r="C94" s="41" t="s">
        <v>2959</v>
      </c>
      <c r="D94" s="60"/>
      <c r="E94" s="60"/>
    </row>
    <row r="95" spans="2:16">
      <c r="B95" s="49" t="s">
        <v>4883</v>
      </c>
      <c r="C95" s="41" t="s">
        <v>2961</v>
      </c>
      <c r="D95" s="60"/>
      <c r="E95" s="60"/>
    </row>
    <row r="96" spans="2:16">
      <c r="B96" s="49" t="s">
        <v>4884</v>
      </c>
      <c r="C96" s="41" t="s">
        <v>2963</v>
      </c>
      <c r="D96" s="60"/>
      <c r="E96" s="60"/>
    </row>
    <row r="97" spans="2:16">
      <c r="B97" s="49" t="s">
        <v>4885</v>
      </c>
      <c r="C97" s="41" t="s">
        <v>2965</v>
      </c>
      <c r="D97" s="60"/>
      <c r="E97" s="60"/>
    </row>
    <row r="98" spans="2:16">
      <c r="B98" s="47" t="s">
        <v>4886</v>
      </c>
      <c r="C98" s="41" t="s">
        <v>2977</v>
      </c>
      <c r="D98" s="60"/>
      <c r="E98" s="60"/>
    </row>
    <row r="99" spans="2:16">
      <c r="B99" s="47" t="s">
        <v>4887</v>
      </c>
      <c r="C99" s="41" t="s">
        <v>2997</v>
      </c>
      <c r="D99" s="60"/>
      <c r="E99" s="60"/>
    </row>
    <row r="100" spans="2:16">
      <c r="B100" s="47" t="s">
        <v>4888</v>
      </c>
      <c r="C100" s="41" t="s">
        <v>3064</v>
      </c>
      <c r="D100" s="60"/>
      <c r="E100" s="60"/>
    </row>
    <row r="101" spans="2:16">
      <c r="B101" s="47" t="s">
        <v>4889</v>
      </c>
      <c r="C101" s="41" t="s">
        <v>3120</v>
      </c>
      <c r="D101" s="60"/>
      <c r="E101" s="60"/>
    </row>
    <row r="102" spans="2:16">
      <c r="B102" s="47" t="s">
        <v>4890</v>
      </c>
      <c r="C102" s="41" t="s">
        <v>3140</v>
      </c>
      <c r="D102" s="60"/>
      <c r="E102" s="60"/>
    </row>
    <row r="104" spans="2:16">
      <c r="O104" s="13" t="str">
        <f>Show!$B$143&amp;Show!$B$143&amp;"SR.26.03.01.04 Rows {"&amp;COLUMN($C$1)&amp;"}"</f>
        <v>!!SR.26.03.01.04 Rows {3}</v>
      </c>
      <c r="P104" s="13" t="str">
        <f>Show!$B$143&amp;Show!$B$143&amp;"SR.26.03.01.04 Columns {"&amp;COLUMN($E$1)&amp;"}"</f>
        <v>!!SR.26.03.01.04 Columns {5}</v>
      </c>
    </row>
  </sheetData>
  <sheetProtection sheet="1" objects="1" scenarios="1"/>
  <mergeCells count="12">
    <mergeCell ref="D87:E87"/>
    <mergeCell ref="B2:O2"/>
    <mergeCell ref="B5:L5"/>
    <mergeCell ref="D14:H15"/>
    <mergeCell ref="D16:E16"/>
    <mergeCell ref="F16:H16"/>
    <mergeCell ref="B35:L35"/>
    <mergeCell ref="D44:D45"/>
    <mergeCell ref="B53:L53"/>
    <mergeCell ref="D62:D63"/>
    <mergeCell ref="B76:L76"/>
    <mergeCell ref="D85:E86"/>
  </mergeCells>
  <dataValidations count="3">
    <dataValidation type="list" errorStyle="warning" allowBlank="1" showInputMessage="1" showErrorMessage="1" sqref="D9 D39 D57 D80" xr:uid="{3739185E-9683-4B72-AA5D-DDF3FA5CE117}">
      <formula1>hier_AO_1</formula1>
    </dataValidation>
    <dataValidation type="list" errorStyle="warning" allowBlank="1" showInputMessage="1" showErrorMessage="1" sqref="D10 D40 D58 D81" xr:uid="{9B92D97A-BAAB-4BA6-84EF-70AFF4010372}">
      <formula1>hier_PU_20</formula1>
    </dataValidation>
    <dataValidation type="list" errorStyle="warning" allowBlank="1" showInputMessage="1" showErrorMessage="1" sqref="D67 D68 D69 D71 D72" xr:uid="{0118110C-F75C-4509-BD1C-100CDFAE810B}">
      <formula1>hier_AP_17</formula1>
    </dataValidation>
  </dataValidations>
  <pageMargins left="0.7" right="0.7" top="0.75" bottom="0.75" header="0.3" footer="0.3"/>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545FE-7637-442C-9568-696C45C22BF2}">
  <sheetPr codeName="Blad148"/>
  <dimension ref="B2:T182"/>
  <sheetViews>
    <sheetView showGridLines="0" workbookViewId="0"/>
  </sheetViews>
  <sheetFormatPr defaultRowHeight="15"/>
  <cols>
    <col min="2" max="2" width="64.42578125" bestFit="1" customWidth="1"/>
    <col min="4" max="4" width="40.7109375" customWidth="1"/>
    <col min="5" max="11" width="15.7109375" customWidth="1"/>
  </cols>
  <sheetData>
    <row r="2" spans="2:20" ht="23.25">
      <c r="B2" s="86" t="s">
        <v>726</v>
      </c>
      <c r="C2" s="87"/>
      <c r="D2" s="87"/>
      <c r="E2" s="87"/>
      <c r="F2" s="87"/>
      <c r="G2" s="87"/>
      <c r="H2" s="87"/>
      <c r="I2" s="87"/>
      <c r="J2" s="87"/>
      <c r="K2" s="87"/>
      <c r="L2" s="87"/>
      <c r="M2" s="87"/>
      <c r="N2" s="87"/>
      <c r="O2" s="87"/>
    </row>
    <row r="5" spans="2:20" ht="18.75">
      <c r="B5" s="88" t="s">
        <v>4909</v>
      </c>
      <c r="C5" s="87"/>
      <c r="D5" s="87"/>
      <c r="E5" s="87"/>
      <c r="F5" s="87"/>
      <c r="G5" s="87"/>
      <c r="H5" s="87"/>
      <c r="I5" s="87"/>
      <c r="J5" s="87"/>
      <c r="K5" s="87"/>
      <c r="L5" s="87"/>
    </row>
    <row r="7" spans="2:20">
      <c r="B7" t="s">
        <v>3110</v>
      </c>
      <c r="S7" s="13" t="str">
        <f>Show!$B$144&amp;"S.26.04.01.01 Table label {"&amp;COLUMN($C$1)&amp;"}"</f>
        <v>!S.26.04.01.01 Table label {3}</v>
      </c>
      <c r="T7" s="13" t="str">
        <f>Show!$B$144&amp;"S.26.04.01.01 Table value {"&amp;COLUMN($D$1)&amp;"}"</f>
        <v>!S.26.04.01.01 Table value {4}</v>
      </c>
    </row>
    <row r="8" spans="2:20">
      <c r="B8" t="s">
        <v>3111</v>
      </c>
    </row>
    <row r="9" spans="2:20">
      <c r="B9" s="40" t="s">
        <v>4622</v>
      </c>
      <c r="C9" s="53" t="s">
        <v>3113</v>
      </c>
      <c r="D9" s="51"/>
    </row>
    <row r="10" spans="2:20">
      <c r="S10" s="13" t="str">
        <f>Show!$B$144&amp;Show!$B$144&amp;"S.26.04.01.01 Table label {"&amp;COLUMN($C$1)&amp;"}"</f>
        <v>!!S.26.04.01.01 Table label {3}</v>
      </c>
      <c r="T10" s="13" t="str">
        <f>Show!$B$144&amp;Show!$B$144&amp;"S.26.04.01.01 Table value {"&amp;COLUMN($D$1)&amp;"}"</f>
        <v>!!S.26.04.01.01 Table value {4}</v>
      </c>
    </row>
    <row r="12" spans="2:20">
      <c r="D12" s="92" t="s">
        <v>2877</v>
      </c>
      <c r="E12" s="93"/>
      <c r="F12" s="93"/>
      <c r="G12" s="93"/>
      <c r="H12" s="93"/>
      <c r="I12" s="93"/>
      <c r="J12" s="94"/>
    </row>
    <row r="13" spans="2:20">
      <c r="D13" s="95"/>
      <c r="E13" s="96"/>
      <c r="F13" s="96"/>
      <c r="G13" s="96"/>
      <c r="H13" s="96"/>
      <c r="I13" s="96"/>
      <c r="J13" s="97"/>
    </row>
    <row r="14" spans="2:20">
      <c r="D14" s="98" t="s">
        <v>4763</v>
      </c>
      <c r="E14" s="99"/>
      <c r="F14" s="98" t="s">
        <v>4764</v>
      </c>
      <c r="G14" s="100"/>
      <c r="H14" s="100"/>
      <c r="I14" s="100"/>
      <c r="J14" s="99"/>
    </row>
    <row r="15" spans="2:20">
      <c r="D15" s="89" t="s">
        <v>3252</v>
      </c>
      <c r="E15" s="89" t="s">
        <v>2389</v>
      </c>
      <c r="F15" s="89" t="s">
        <v>3252</v>
      </c>
      <c r="G15" s="89" t="s">
        <v>4765</v>
      </c>
      <c r="H15" s="89" t="s">
        <v>4623</v>
      </c>
      <c r="I15" s="89" t="s">
        <v>4766</v>
      </c>
      <c r="J15" s="89" t="s">
        <v>4624</v>
      </c>
    </row>
    <row r="16" spans="2:20">
      <c r="D16" s="91"/>
      <c r="E16" s="91"/>
      <c r="F16" s="91"/>
      <c r="G16" s="91"/>
      <c r="H16" s="91"/>
      <c r="I16" s="91"/>
      <c r="J16" s="91"/>
    </row>
    <row r="17" spans="2:20">
      <c r="D17" s="45" t="s">
        <v>3219</v>
      </c>
      <c r="E17" s="45" t="s">
        <v>3225</v>
      </c>
      <c r="F17" s="45" t="s">
        <v>3223</v>
      </c>
      <c r="G17" s="45" t="s">
        <v>3229</v>
      </c>
      <c r="H17" s="45" t="s">
        <v>3231</v>
      </c>
      <c r="I17" s="45" t="s">
        <v>3233</v>
      </c>
      <c r="J17" s="45" t="s">
        <v>3234</v>
      </c>
      <c r="S17" s="13" t="str">
        <f>Show!$B$144&amp;"S.26.04.01.01 Rows {"&amp;COLUMN($C$1)&amp;"}"&amp;"@ForceFilingCode:true"</f>
        <v>!S.26.04.01.01 Rows {3}@ForceFilingCode:true</v>
      </c>
      <c r="T17" s="13" t="str">
        <f>Show!$B$144&amp;"S.26.04.01.01 Columns {"&amp;COLUMN($D$1)&amp;"}"</f>
        <v>!S.26.04.01.01 Columns {4}</v>
      </c>
    </row>
    <row r="18" spans="2:20">
      <c r="B18" s="43" t="s">
        <v>2880</v>
      </c>
      <c r="C18" s="44" t="s">
        <v>2878</v>
      </c>
      <c r="D18" s="56"/>
      <c r="E18" s="66"/>
      <c r="F18" s="66"/>
      <c r="G18" s="66"/>
      <c r="H18" s="66"/>
      <c r="I18" s="66"/>
      <c r="J18" s="57"/>
    </row>
    <row r="19" spans="2:20">
      <c r="B19" s="47" t="s">
        <v>4910</v>
      </c>
      <c r="C19" s="41" t="s">
        <v>2899</v>
      </c>
      <c r="D19" s="60"/>
      <c r="E19" s="60"/>
      <c r="F19" s="60"/>
      <c r="G19" s="60"/>
      <c r="H19" s="60"/>
      <c r="I19" s="60"/>
      <c r="J19" s="60"/>
    </row>
    <row r="20" spans="2:20">
      <c r="B20" s="47" t="s">
        <v>4911</v>
      </c>
      <c r="C20" s="41" t="s">
        <v>2919</v>
      </c>
      <c r="D20" s="63"/>
      <c r="E20" s="63"/>
      <c r="F20" s="63"/>
      <c r="G20" s="63"/>
      <c r="H20" s="60"/>
      <c r="I20" s="63"/>
      <c r="J20" s="60"/>
    </row>
    <row r="21" spans="2:20">
      <c r="B21" s="47" t="s">
        <v>4912</v>
      </c>
      <c r="C21" s="44" t="s">
        <v>2939</v>
      </c>
      <c r="D21" s="58"/>
      <c r="E21" s="58"/>
      <c r="F21" s="58"/>
      <c r="G21" s="48"/>
      <c r="H21" s="64"/>
      <c r="I21" s="48"/>
      <c r="J21" s="60"/>
    </row>
    <row r="22" spans="2:20">
      <c r="B22" s="49" t="s">
        <v>4913</v>
      </c>
      <c r="C22" s="44" t="s">
        <v>2941</v>
      </c>
      <c r="D22" s="56"/>
      <c r="E22" s="56"/>
      <c r="F22" s="56"/>
      <c r="G22" s="46"/>
      <c r="H22" s="64"/>
      <c r="I22" s="46"/>
      <c r="J22" s="60"/>
    </row>
    <row r="23" spans="2:20">
      <c r="B23" s="61" t="s">
        <v>4914</v>
      </c>
      <c r="C23" s="41" t="s">
        <v>2943</v>
      </c>
      <c r="D23" s="60"/>
      <c r="E23" s="60"/>
      <c r="F23" s="60"/>
      <c r="G23" s="60"/>
      <c r="H23" s="60"/>
      <c r="I23" s="60"/>
      <c r="J23" s="60"/>
    </row>
    <row r="24" spans="2:20">
      <c r="B24" s="61" t="s">
        <v>4915</v>
      </c>
      <c r="C24" s="41" t="s">
        <v>2945</v>
      </c>
      <c r="D24" s="60"/>
      <c r="E24" s="60"/>
      <c r="F24" s="60"/>
      <c r="G24" s="60"/>
      <c r="H24" s="60"/>
      <c r="I24" s="60"/>
      <c r="J24" s="60"/>
    </row>
    <row r="25" spans="2:20">
      <c r="B25" s="49" t="s">
        <v>4916</v>
      </c>
      <c r="C25" s="41" t="s">
        <v>2947</v>
      </c>
      <c r="D25" s="63"/>
      <c r="E25" s="63"/>
      <c r="F25" s="63"/>
      <c r="G25" s="63"/>
      <c r="H25" s="60"/>
      <c r="I25" s="63"/>
      <c r="J25" s="60"/>
    </row>
    <row r="26" spans="2:20">
      <c r="B26" s="47" t="s">
        <v>4917</v>
      </c>
      <c r="C26" s="44" t="s">
        <v>2959</v>
      </c>
      <c r="D26" s="56"/>
      <c r="E26" s="56"/>
      <c r="F26" s="56"/>
      <c r="G26" s="46"/>
      <c r="H26" s="64"/>
      <c r="I26" s="46"/>
      <c r="J26" s="60"/>
    </row>
    <row r="27" spans="2:20">
      <c r="B27" s="49" t="s">
        <v>4883</v>
      </c>
      <c r="C27" s="41" t="s">
        <v>2961</v>
      </c>
      <c r="D27" s="60"/>
      <c r="E27" s="60"/>
      <c r="F27" s="60"/>
      <c r="G27" s="60"/>
      <c r="H27" s="60"/>
      <c r="I27" s="60"/>
      <c r="J27" s="60"/>
    </row>
    <row r="28" spans="2:20">
      <c r="B28" s="49" t="s">
        <v>4884</v>
      </c>
      <c r="C28" s="41" t="s">
        <v>2963</v>
      </c>
      <c r="D28" s="60"/>
      <c r="E28" s="60"/>
      <c r="F28" s="60"/>
      <c r="G28" s="60"/>
      <c r="H28" s="60"/>
      <c r="I28" s="60"/>
      <c r="J28" s="60"/>
    </row>
    <row r="29" spans="2:20">
      <c r="B29" s="49" t="s">
        <v>4885</v>
      </c>
      <c r="C29" s="41" t="s">
        <v>2965</v>
      </c>
      <c r="D29" s="60"/>
      <c r="E29" s="60"/>
      <c r="F29" s="60"/>
      <c r="G29" s="60"/>
      <c r="H29" s="60"/>
      <c r="I29" s="60"/>
      <c r="J29" s="60"/>
    </row>
    <row r="30" spans="2:20">
      <c r="B30" s="47" t="s">
        <v>4918</v>
      </c>
      <c r="C30" s="41" t="s">
        <v>2977</v>
      </c>
      <c r="D30" s="60"/>
      <c r="E30" s="60"/>
      <c r="F30" s="60"/>
      <c r="G30" s="60"/>
      <c r="H30" s="60"/>
      <c r="I30" s="60"/>
      <c r="J30" s="60"/>
    </row>
    <row r="31" spans="2:20">
      <c r="B31" s="47" t="s">
        <v>4919</v>
      </c>
      <c r="C31" s="41" t="s">
        <v>2997</v>
      </c>
      <c r="D31" s="63"/>
      <c r="E31" s="63"/>
      <c r="F31" s="63"/>
      <c r="G31" s="63"/>
      <c r="H31" s="60"/>
      <c r="I31" s="63"/>
      <c r="J31" s="60"/>
    </row>
    <row r="32" spans="2:20">
      <c r="B32" s="47" t="s">
        <v>4920</v>
      </c>
      <c r="C32" s="44" t="s">
        <v>3064</v>
      </c>
      <c r="D32" s="58"/>
      <c r="E32" s="58"/>
      <c r="F32" s="58"/>
      <c r="G32" s="48"/>
      <c r="H32" s="64"/>
      <c r="I32" s="48"/>
      <c r="J32" s="60"/>
    </row>
    <row r="33" spans="2:20">
      <c r="B33" s="47" t="s">
        <v>4921</v>
      </c>
      <c r="C33" s="44" t="s">
        <v>3120</v>
      </c>
      <c r="D33" s="56"/>
      <c r="E33" s="56"/>
      <c r="F33" s="56"/>
      <c r="G33" s="46"/>
      <c r="H33" s="64"/>
      <c r="I33" s="46"/>
      <c r="J33" s="60"/>
    </row>
    <row r="35" spans="2:20">
      <c r="S35" s="13" t="str">
        <f>Show!$B$144&amp;Show!$B$144&amp;"S.26.04.01.01 Rows {"&amp;COLUMN($C$1)&amp;"}"</f>
        <v>!!S.26.04.01.01 Rows {3}</v>
      </c>
      <c r="T35" s="13" t="str">
        <f>Show!$B$144&amp;Show!$B$144&amp;"S.26.04.01.01 Columns {"&amp;COLUMN($J$1)&amp;"}"</f>
        <v>!!S.26.04.01.01 Columns {10}</v>
      </c>
    </row>
    <row r="37" spans="2:20" ht="18.75">
      <c r="B37" s="88" t="s">
        <v>4922</v>
      </c>
      <c r="C37" s="87"/>
      <c r="D37" s="87"/>
      <c r="E37" s="87"/>
      <c r="F37" s="87"/>
      <c r="G37" s="87"/>
      <c r="H37" s="87"/>
      <c r="I37" s="87"/>
      <c r="J37" s="87"/>
      <c r="K37" s="87"/>
      <c r="L37" s="87"/>
    </row>
    <row r="39" spans="2:20">
      <c r="B39" t="s">
        <v>3110</v>
      </c>
      <c r="S39" s="13" t="str">
        <f>Show!$B$144&amp;"S.26.04.01.02 Table label {"&amp;COLUMN($C$1)&amp;"}"</f>
        <v>!S.26.04.01.02 Table label {3}</v>
      </c>
      <c r="T39" s="13" t="str">
        <f>Show!$B$144&amp;"S.26.04.01.02 Table value {"&amp;COLUMN($D$1)&amp;"}"</f>
        <v>!S.26.04.01.02 Table value {4}</v>
      </c>
    </row>
    <row r="40" spans="2:20">
      <c r="B40" t="s">
        <v>3111</v>
      </c>
    </row>
    <row r="41" spans="2:20">
      <c r="B41" s="40" t="s">
        <v>4622</v>
      </c>
      <c r="C41" s="53" t="s">
        <v>3113</v>
      </c>
      <c r="D41" s="51"/>
    </row>
    <row r="42" spans="2:20">
      <c r="S42" s="13" t="str">
        <f>Show!$B$144&amp;Show!$B$144&amp;"S.26.04.01.02 Table label {"&amp;COLUMN($C$1)&amp;"}"</f>
        <v>!!S.26.04.01.02 Table label {3}</v>
      </c>
      <c r="T42" s="13" t="str">
        <f>Show!$B$144&amp;Show!$B$144&amp;"S.26.04.01.02 Table value {"&amp;COLUMN($D$1)&amp;"}"</f>
        <v>!!S.26.04.01.02 Table value {4}</v>
      </c>
    </row>
    <row r="44" spans="2:20">
      <c r="D44" s="89" t="s">
        <v>2877</v>
      </c>
    </row>
    <row r="45" spans="2:20">
      <c r="D45" s="91"/>
    </row>
    <row r="46" spans="2:20">
      <c r="D46" s="55" t="s">
        <v>4687</v>
      </c>
    </row>
    <row r="47" spans="2:20">
      <c r="D47" s="45" t="s">
        <v>3236</v>
      </c>
      <c r="S47" s="13" t="str">
        <f>Show!$B$144&amp;"S.26.04.01.02 Rows {"&amp;COLUMN($C$1)&amp;"}"&amp;"@ForceFilingCode:true"</f>
        <v>!S.26.04.01.02 Rows {3}@ForceFilingCode:true</v>
      </c>
      <c r="T47" s="13" t="str">
        <f>Show!$B$144&amp;"S.26.04.01.02 Columns {"&amp;COLUMN($D$1)&amp;"}"</f>
        <v>!S.26.04.01.02 Columns {4}</v>
      </c>
    </row>
    <row r="48" spans="2:20">
      <c r="B48" s="43" t="s">
        <v>2880</v>
      </c>
      <c r="C48" s="44" t="s">
        <v>2878</v>
      </c>
      <c r="D48" s="46"/>
    </row>
    <row r="49" spans="2:20">
      <c r="B49" s="47" t="s">
        <v>4892</v>
      </c>
      <c r="C49" s="41" t="s">
        <v>3140</v>
      </c>
      <c r="D49" s="70"/>
    </row>
    <row r="51" spans="2:20">
      <c r="S51" s="13" t="str">
        <f>Show!$B$144&amp;Show!$B$144&amp;"S.26.04.01.02 Rows {"&amp;COLUMN($C$1)&amp;"}"</f>
        <v>!!S.26.04.01.02 Rows {3}</v>
      </c>
      <c r="T51" s="13" t="str">
        <f>Show!$B$144&amp;Show!$B$144&amp;"S.26.04.01.02 Columns {"&amp;COLUMN($D$1)&amp;"}"</f>
        <v>!!S.26.04.01.02 Columns {4}</v>
      </c>
    </row>
    <row r="53" spans="2:20" ht="18.75">
      <c r="B53" s="88" t="s">
        <v>4923</v>
      </c>
      <c r="C53" s="87"/>
      <c r="D53" s="87"/>
      <c r="E53" s="87"/>
      <c r="F53" s="87"/>
      <c r="G53" s="87"/>
      <c r="H53" s="87"/>
      <c r="I53" s="87"/>
      <c r="J53" s="87"/>
      <c r="K53" s="87"/>
      <c r="L53" s="87"/>
    </row>
    <row r="55" spans="2:20">
      <c r="B55" t="s">
        <v>3110</v>
      </c>
      <c r="S55" s="13" t="str">
        <f>Show!$B$144&amp;"S.26.04.01.03 Table label {"&amp;COLUMN($C$1)&amp;"}"</f>
        <v>!S.26.04.01.03 Table label {3}</v>
      </c>
      <c r="T55" s="13" t="str">
        <f>Show!$B$144&amp;"S.26.04.01.03 Table value {"&amp;COLUMN($D$1)&amp;"}"</f>
        <v>!S.26.04.01.03 Table value {4}</v>
      </c>
    </row>
    <row r="56" spans="2:20">
      <c r="B56" t="s">
        <v>3111</v>
      </c>
    </row>
    <row r="57" spans="2:20">
      <c r="B57" s="40" t="s">
        <v>4622</v>
      </c>
      <c r="C57" s="53" t="s">
        <v>3113</v>
      </c>
      <c r="D57" s="51"/>
    </row>
    <row r="58" spans="2:20">
      <c r="S58" s="13" t="str">
        <f>Show!$B$144&amp;Show!$B$144&amp;"S.26.04.01.03 Table label {"&amp;COLUMN($C$1)&amp;"}"</f>
        <v>!!S.26.04.01.03 Table label {3}</v>
      </c>
      <c r="T58" s="13" t="str">
        <f>Show!$B$144&amp;Show!$B$144&amp;"S.26.04.01.03 Table value {"&amp;COLUMN($D$1)&amp;"}"</f>
        <v>!!S.26.04.01.03 Table value {4}</v>
      </c>
    </row>
    <row r="60" spans="2:20">
      <c r="D60" s="92" t="s">
        <v>2877</v>
      </c>
      <c r="E60" s="93"/>
      <c r="F60" s="93"/>
      <c r="G60" s="93"/>
      <c r="H60" s="93"/>
      <c r="I60" s="93"/>
      <c r="J60" s="93"/>
      <c r="K60" s="94"/>
    </row>
    <row r="61" spans="2:20">
      <c r="D61" s="95"/>
      <c r="E61" s="96"/>
      <c r="F61" s="96"/>
      <c r="G61" s="96"/>
      <c r="H61" s="96"/>
      <c r="I61" s="96"/>
      <c r="J61" s="96"/>
      <c r="K61" s="97"/>
    </row>
    <row r="62" spans="2:20" ht="45">
      <c r="D62" s="98" t="s">
        <v>4924</v>
      </c>
      <c r="E62" s="100"/>
      <c r="F62" s="99"/>
      <c r="G62" s="55" t="s">
        <v>4928</v>
      </c>
      <c r="H62" s="98" t="s">
        <v>4929</v>
      </c>
      <c r="I62" s="100"/>
      <c r="J62" s="100"/>
      <c r="K62" s="99"/>
    </row>
    <row r="63" spans="2:20" ht="60">
      <c r="D63" s="55" t="s">
        <v>4925</v>
      </c>
      <c r="E63" s="55" t="s">
        <v>4926</v>
      </c>
      <c r="F63" s="55" t="s">
        <v>4927</v>
      </c>
      <c r="G63" s="55" t="s">
        <v>4687</v>
      </c>
      <c r="H63" s="55" t="s">
        <v>4930</v>
      </c>
      <c r="I63" s="55" t="s">
        <v>4931</v>
      </c>
      <c r="J63" s="55" t="s">
        <v>4932</v>
      </c>
      <c r="K63" s="55" t="s">
        <v>4933</v>
      </c>
    </row>
    <row r="64" spans="2:20">
      <c r="D64" s="45" t="s">
        <v>3239</v>
      </c>
      <c r="E64" s="45" t="s">
        <v>3241</v>
      </c>
      <c r="F64" s="45" t="s">
        <v>3243</v>
      </c>
      <c r="G64" s="45" t="s">
        <v>3375</v>
      </c>
      <c r="H64" s="45" t="s">
        <v>3475</v>
      </c>
      <c r="I64" s="45" t="s">
        <v>3477</v>
      </c>
      <c r="J64" s="45" t="s">
        <v>3479</v>
      </c>
      <c r="K64" s="45" t="s">
        <v>3594</v>
      </c>
      <c r="S64" s="13" t="str">
        <f>Show!$B$144&amp;"S.26.04.01.03 Rows {"&amp;COLUMN($C$1)&amp;"}"&amp;"@ForceFilingCode:true"</f>
        <v>!S.26.04.01.03 Rows {3}@ForceFilingCode:true</v>
      </c>
      <c r="T64" s="13" t="str">
        <f>Show!$B$144&amp;"S.26.04.01.03 Columns {"&amp;COLUMN($D$1)&amp;"}"</f>
        <v>!S.26.04.01.03 Columns {4}</v>
      </c>
    </row>
    <row r="65" spans="2:20">
      <c r="B65" s="43" t="s">
        <v>2880</v>
      </c>
      <c r="C65" s="44" t="s">
        <v>2878</v>
      </c>
      <c r="D65" s="56"/>
      <c r="E65" s="66"/>
      <c r="F65" s="66"/>
      <c r="G65" s="66"/>
      <c r="H65" s="66"/>
      <c r="I65" s="66"/>
      <c r="J65" s="66"/>
      <c r="K65" s="57"/>
    </row>
    <row r="66" spans="2:20">
      <c r="B66" s="47" t="s">
        <v>4934</v>
      </c>
      <c r="C66" s="41" t="s">
        <v>3315</v>
      </c>
      <c r="D66" s="70"/>
      <c r="E66" s="51"/>
      <c r="F66" s="70"/>
      <c r="G66" s="70"/>
      <c r="H66" s="60"/>
      <c r="I66" s="60"/>
      <c r="J66" s="70"/>
      <c r="K66" s="60"/>
    </row>
    <row r="67" spans="2:20">
      <c r="B67" s="47" t="s">
        <v>4935</v>
      </c>
      <c r="C67" s="41" t="s">
        <v>3496</v>
      </c>
      <c r="D67" s="70"/>
      <c r="E67" s="51"/>
      <c r="F67" s="70"/>
      <c r="G67" s="70"/>
      <c r="H67" s="60"/>
      <c r="I67" s="60"/>
      <c r="J67" s="70"/>
      <c r="K67" s="60"/>
    </row>
    <row r="68" spans="2:20">
      <c r="B68" s="47" t="s">
        <v>4936</v>
      </c>
      <c r="C68" s="41" t="s">
        <v>3497</v>
      </c>
      <c r="D68" s="70"/>
      <c r="E68" s="51"/>
      <c r="F68" s="70"/>
      <c r="G68" s="70"/>
      <c r="H68" s="60"/>
      <c r="I68" s="60"/>
      <c r="J68" s="70"/>
      <c r="K68" s="60"/>
    </row>
    <row r="69" spans="2:20">
      <c r="B69" s="47" t="s">
        <v>3902</v>
      </c>
      <c r="C69" s="41" t="s">
        <v>3498</v>
      </c>
      <c r="D69" s="76"/>
      <c r="E69" s="68"/>
      <c r="F69" s="76"/>
      <c r="G69" s="76"/>
      <c r="H69" s="63"/>
      <c r="I69" s="63"/>
      <c r="J69" s="76"/>
      <c r="K69" s="60"/>
    </row>
    <row r="70" spans="2:20">
      <c r="B70" s="47" t="s">
        <v>4937</v>
      </c>
      <c r="C70" s="44" t="s">
        <v>3499</v>
      </c>
      <c r="D70" s="56"/>
      <c r="E70" s="58"/>
      <c r="F70" s="58"/>
      <c r="G70" s="58"/>
      <c r="H70" s="58"/>
      <c r="I70" s="58"/>
      <c r="J70" s="48"/>
      <c r="K70" s="63"/>
    </row>
    <row r="71" spans="2:20">
      <c r="B71" s="47" t="s">
        <v>4938</v>
      </c>
      <c r="C71" s="41" t="s">
        <v>4939</v>
      </c>
      <c r="D71" s="71"/>
      <c r="E71" s="56"/>
      <c r="F71" s="56"/>
      <c r="G71" s="56"/>
      <c r="H71" s="56"/>
      <c r="I71" s="56"/>
      <c r="J71" s="56"/>
      <c r="K71" s="46"/>
    </row>
    <row r="73" spans="2:20">
      <c r="S73" s="13" t="str">
        <f>Show!$B$144&amp;Show!$B$144&amp;"S.26.04.01.03 Rows {"&amp;COLUMN($C$1)&amp;"}"</f>
        <v>!!S.26.04.01.03 Rows {3}</v>
      </c>
      <c r="T73" s="13" t="str">
        <f>Show!$B$144&amp;Show!$B$144&amp;"S.26.04.01.03 Columns {"&amp;COLUMN($K$1)&amp;"}"</f>
        <v>!!S.26.04.01.03 Columns {11}</v>
      </c>
    </row>
    <row r="75" spans="2:20" ht="18.75">
      <c r="B75" s="88" t="s">
        <v>4940</v>
      </c>
      <c r="C75" s="87"/>
      <c r="D75" s="87"/>
      <c r="E75" s="87"/>
      <c r="F75" s="87"/>
      <c r="G75" s="87"/>
      <c r="H75" s="87"/>
      <c r="I75" s="87"/>
      <c r="J75" s="87"/>
      <c r="K75" s="87"/>
      <c r="L75" s="87"/>
    </row>
    <row r="77" spans="2:20">
      <c r="B77" t="s">
        <v>3110</v>
      </c>
      <c r="S77" s="13" t="str">
        <f>Show!$B$144&amp;"S.26.04.01.04 Table label {"&amp;COLUMN($C$1)&amp;"}"</f>
        <v>!S.26.04.01.04 Table label {3}</v>
      </c>
      <c r="T77" s="13" t="str">
        <f>Show!$B$144&amp;"S.26.04.01.04 Table value {"&amp;COLUMN($D$1)&amp;"}"</f>
        <v>!S.26.04.01.04 Table value {4}</v>
      </c>
    </row>
    <row r="78" spans="2:20">
      <c r="B78" t="s">
        <v>3111</v>
      </c>
    </row>
    <row r="79" spans="2:20">
      <c r="B79" s="40" t="s">
        <v>4622</v>
      </c>
      <c r="C79" s="53" t="s">
        <v>3113</v>
      </c>
      <c r="D79" s="51"/>
    </row>
    <row r="80" spans="2:20">
      <c r="S80" s="13" t="str">
        <f>Show!$B$144&amp;Show!$B$144&amp;"S.26.04.01.04 Table label {"&amp;COLUMN($C$1)&amp;"}"</f>
        <v>!!S.26.04.01.04 Table label {3}</v>
      </c>
      <c r="T80" s="13" t="str">
        <f>Show!$B$144&amp;Show!$B$144&amp;"S.26.04.01.04 Table value {"&amp;COLUMN($D$1)&amp;"}"</f>
        <v>!!S.26.04.01.04 Table value {4}</v>
      </c>
    </row>
    <row r="82" spans="2:20">
      <c r="D82" s="89" t="s">
        <v>2877</v>
      </c>
    </row>
    <row r="83" spans="2:20">
      <c r="D83" s="91"/>
    </row>
    <row r="84" spans="2:20">
      <c r="D84" s="55" t="s">
        <v>4643</v>
      </c>
    </row>
    <row r="85" spans="2:20">
      <c r="D85" s="45" t="s">
        <v>3596</v>
      </c>
      <c r="S85" s="13" t="str">
        <f>Show!$B$144&amp;"S.26.04.01.04 Rows {"&amp;COLUMN($C$1)&amp;"}"&amp;"@ForceFilingCode:true"</f>
        <v>!S.26.04.01.04 Rows {3}@ForceFilingCode:true</v>
      </c>
      <c r="T85" s="13" t="str">
        <f>Show!$B$144&amp;"S.26.04.01.04 Columns {"&amp;COLUMN($D$1)&amp;"}"</f>
        <v>!S.26.04.01.04 Columns {4}</v>
      </c>
    </row>
    <row r="86" spans="2:20">
      <c r="B86" s="43" t="s">
        <v>2880</v>
      </c>
      <c r="C86" s="44" t="s">
        <v>2878</v>
      </c>
      <c r="D86" s="46"/>
    </row>
    <row r="87" spans="2:20">
      <c r="B87" s="47" t="s">
        <v>4941</v>
      </c>
      <c r="C87" s="41" t="s">
        <v>3500</v>
      </c>
      <c r="D87" s="60"/>
    </row>
    <row r="89" spans="2:20">
      <c r="S89" s="13" t="str">
        <f>Show!$B$144&amp;Show!$B$144&amp;"S.26.04.01.04 Rows {"&amp;COLUMN($C$1)&amp;"}"</f>
        <v>!!S.26.04.01.04 Rows {3}</v>
      </c>
      <c r="T89" s="13" t="str">
        <f>Show!$B$144&amp;Show!$B$144&amp;"S.26.04.01.04 Columns {"&amp;COLUMN($D$1)&amp;"}"</f>
        <v>!!S.26.04.01.04 Columns {4}</v>
      </c>
    </row>
    <row r="91" spans="2:20" ht="18.75">
      <c r="B91" s="88" t="s">
        <v>4942</v>
      </c>
      <c r="C91" s="87"/>
      <c r="D91" s="87"/>
      <c r="E91" s="87"/>
      <c r="F91" s="87"/>
      <c r="G91" s="87"/>
      <c r="H91" s="87"/>
      <c r="I91" s="87"/>
      <c r="J91" s="87"/>
      <c r="K91" s="87"/>
      <c r="L91" s="87"/>
    </row>
    <row r="93" spans="2:20">
      <c r="B93" t="s">
        <v>3110</v>
      </c>
      <c r="S93" s="13" t="str">
        <f>Show!$B$144&amp;"S.26.04.01.05 Table label {"&amp;COLUMN($C$1)&amp;"}"</f>
        <v>!S.26.04.01.05 Table label {3}</v>
      </c>
      <c r="T93" s="13" t="str">
        <f>Show!$B$144&amp;"S.26.04.01.05 Table value {"&amp;COLUMN($D$1)&amp;"}"</f>
        <v>!S.26.04.01.05 Table value {4}</v>
      </c>
    </row>
    <row r="94" spans="2:20">
      <c r="B94" t="s">
        <v>3111</v>
      </c>
    </row>
    <row r="95" spans="2:20">
      <c r="B95" s="40" t="s">
        <v>4622</v>
      </c>
      <c r="C95" s="53" t="s">
        <v>3113</v>
      </c>
      <c r="D95" s="51"/>
    </row>
    <row r="96" spans="2:20">
      <c r="S96" s="13" t="str">
        <f>Show!$B$144&amp;Show!$B$144&amp;"S.26.04.01.05 Table label {"&amp;COLUMN($C$1)&amp;"}"</f>
        <v>!!S.26.04.01.05 Table label {3}</v>
      </c>
      <c r="T96" s="13" t="str">
        <f>Show!$B$144&amp;Show!$B$144&amp;"S.26.04.01.05 Table value {"&amp;COLUMN($D$1)&amp;"}"</f>
        <v>!!S.26.04.01.05 Table value {4}</v>
      </c>
    </row>
    <row r="98" spans="2:20">
      <c r="D98" s="92" t="s">
        <v>2877</v>
      </c>
      <c r="E98" s="93"/>
      <c r="F98" s="93"/>
      <c r="G98" s="93"/>
      <c r="H98" s="94"/>
    </row>
    <row r="99" spans="2:20">
      <c r="D99" s="95"/>
      <c r="E99" s="96"/>
      <c r="F99" s="96"/>
      <c r="G99" s="96"/>
      <c r="H99" s="97"/>
    </row>
    <row r="100" spans="2:20">
      <c r="D100" s="98" t="s">
        <v>4763</v>
      </c>
      <c r="E100" s="99"/>
      <c r="F100" s="98" t="s">
        <v>4764</v>
      </c>
      <c r="G100" s="100"/>
      <c r="H100" s="99"/>
    </row>
    <row r="101" spans="2:20" ht="30">
      <c r="D101" s="55" t="s">
        <v>3252</v>
      </c>
      <c r="E101" s="55" t="s">
        <v>2389</v>
      </c>
      <c r="F101" s="55" t="s">
        <v>3252</v>
      </c>
      <c r="G101" s="55" t="s">
        <v>2389</v>
      </c>
      <c r="H101" s="55" t="s">
        <v>4643</v>
      </c>
    </row>
    <row r="102" spans="2:20">
      <c r="D102" s="45" t="s">
        <v>3599</v>
      </c>
      <c r="E102" s="45" t="s">
        <v>3481</v>
      </c>
      <c r="F102" s="45" t="s">
        <v>3508</v>
      </c>
      <c r="G102" s="45" t="s">
        <v>3509</v>
      </c>
      <c r="H102" s="45" t="s">
        <v>3511</v>
      </c>
      <c r="S102" s="13" t="str">
        <f>Show!$B$144&amp;"S.26.04.01.05 Rows {"&amp;COLUMN($C$1)&amp;"}"&amp;"@ForceFilingCode:true"</f>
        <v>!S.26.04.01.05 Rows {3}@ForceFilingCode:true</v>
      </c>
      <c r="T102" s="13" t="str">
        <f>Show!$B$144&amp;"S.26.04.01.05 Columns {"&amp;COLUMN($D$1)&amp;"}"</f>
        <v>!S.26.04.01.05 Columns {4}</v>
      </c>
    </row>
    <row r="103" spans="2:20">
      <c r="B103" s="43" t="s">
        <v>2880</v>
      </c>
      <c r="C103" s="44" t="s">
        <v>2878</v>
      </c>
      <c r="D103" s="56"/>
      <c r="E103" s="66"/>
      <c r="F103" s="66"/>
      <c r="G103" s="66"/>
      <c r="H103" s="57"/>
    </row>
    <row r="104" spans="2:20">
      <c r="B104" s="47" t="s">
        <v>4943</v>
      </c>
      <c r="C104" s="41" t="s">
        <v>3502</v>
      </c>
      <c r="D104" s="60"/>
      <c r="E104" s="60"/>
      <c r="F104" s="60"/>
      <c r="G104" s="60"/>
      <c r="H104" s="60"/>
    </row>
    <row r="106" spans="2:20">
      <c r="S106" s="13" t="str">
        <f>Show!$B$144&amp;Show!$B$144&amp;"S.26.04.01.05 Rows {"&amp;COLUMN($C$1)&amp;"}"</f>
        <v>!!S.26.04.01.05 Rows {3}</v>
      </c>
      <c r="T106" s="13" t="str">
        <f>Show!$B$144&amp;Show!$B$144&amp;"S.26.04.01.05 Columns {"&amp;COLUMN($H$1)&amp;"}"</f>
        <v>!!S.26.04.01.05 Columns {8}</v>
      </c>
    </row>
    <row r="108" spans="2:20" ht="18.75">
      <c r="B108" s="88" t="s">
        <v>4944</v>
      </c>
      <c r="C108" s="87"/>
      <c r="D108" s="87"/>
      <c r="E108" s="87"/>
      <c r="F108" s="87"/>
      <c r="G108" s="87"/>
      <c r="H108" s="87"/>
      <c r="I108" s="87"/>
      <c r="J108" s="87"/>
      <c r="K108" s="87"/>
      <c r="L108" s="87"/>
    </row>
    <row r="110" spans="2:20">
      <c r="B110" t="s">
        <v>3110</v>
      </c>
      <c r="S110" s="13" t="str">
        <f>Show!$B$144&amp;"S.26.04.01.06 Table label {"&amp;COLUMN($C$1)&amp;"}"</f>
        <v>!S.26.04.01.06 Table label {3}</v>
      </c>
      <c r="T110" s="13" t="str">
        <f>Show!$B$144&amp;"S.26.04.01.06 Table value {"&amp;COLUMN($D$1)&amp;"}"</f>
        <v>!S.26.04.01.06 Table value {4}</v>
      </c>
    </row>
    <row r="111" spans="2:20">
      <c r="B111" t="s">
        <v>3111</v>
      </c>
    </row>
    <row r="112" spans="2:20">
      <c r="B112" s="40" t="s">
        <v>4622</v>
      </c>
      <c r="C112" s="53" t="s">
        <v>3113</v>
      </c>
      <c r="D112" s="51"/>
    </row>
    <row r="113" spans="2:20">
      <c r="S113" s="13" t="str">
        <f>Show!$B$144&amp;Show!$B$144&amp;"S.26.04.01.06 Table label {"&amp;COLUMN($C$1)&amp;"}"</f>
        <v>!!S.26.04.01.06 Table label {3}</v>
      </c>
      <c r="T113" s="13" t="str">
        <f>Show!$B$144&amp;Show!$B$144&amp;"S.26.04.01.06 Table value {"&amp;COLUMN($D$1)&amp;"}"</f>
        <v>!!S.26.04.01.06 Table value {4}</v>
      </c>
    </row>
    <row r="115" spans="2:20">
      <c r="D115" s="89" t="s">
        <v>2877</v>
      </c>
    </row>
    <row r="116" spans="2:20">
      <c r="D116" s="91"/>
    </row>
    <row r="117" spans="2:20">
      <c r="D117" s="55" t="s">
        <v>4643</v>
      </c>
    </row>
    <row r="118" spans="2:20">
      <c r="D118" s="45" t="s">
        <v>3513</v>
      </c>
      <c r="S118" s="13" t="str">
        <f>Show!$B$144&amp;"S.26.04.01.06 Rows {"&amp;COLUMN($C$1)&amp;"}"&amp;"@ForceFilingCode:true"</f>
        <v>!S.26.04.01.06 Rows {3}@ForceFilingCode:true</v>
      </c>
      <c r="T118" s="13" t="str">
        <f>Show!$B$144&amp;"S.26.04.01.06 Columns {"&amp;COLUMN($D$1)&amp;"}"</f>
        <v>!S.26.04.01.06 Columns {4}</v>
      </c>
    </row>
    <row r="119" spans="2:20">
      <c r="B119" s="43" t="s">
        <v>2880</v>
      </c>
      <c r="C119" s="44" t="s">
        <v>2878</v>
      </c>
      <c r="D119" s="46"/>
    </row>
    <row r="120" spans="2:20">
      <c r="B120" s="47" t="s">
        <v>4945</v>
      </c>
      <c r="C120" s="41" t="s">
        <v>3504</v>
      </c>
      <c r="D120" s="60"/>
    </row>
    <row r="121" spans="2:20">
      <c r="B121" s="47" t="s">
        <v>4946</v>
      </c>
      <c r="C121" s="41" t="s">
        <v>4947</v>
      </c>
      <c r="D121" s="60"/>
    </row>
    <row r="123" spans="2:20">
      <c r="S123" s="13" t="str">
        <f>Show!$B$144&amp;Show!$B$144&amp;"S.26.04.01.06 Rows {"&amp;COLUMN($C$1)&amp;"}"</f>
        <v>!!S.26.04.01.06 Rows {3}</v>
      </c>
      <c r="T123" s="13" t="str">
        <f>Show!$B$144&amp;Show!$B$144&amp;"S.26.04.01.06 Columns {"&amp;COLUMN($D$1)&amp;"}"</f>
        <v>!!S.26.04.01.06 Columns {4}</v>
      </c>
    </row>
    <row r="125" spans="2:20" ht="18.75">
      <c r="B125" s="88" t="s">
        <v>4948</v>
      </c>
      <c r="C125" s="87"/>
      <c r="D125" s="87"/>
      <c r="E125" s="87"/>
      <c r="F125" s="87"/>
      <c r="G125" s="87"/>
      <c r="H125" s="87"/>
      <c r="I125" s="87"/>
      <c r="J125" s="87"/>
      <c r="K125" s="87"/>
      <c r="L125" s="87"/>
    </row>
    <row r="127" spans="2:20">
      <c r="B127" t="s">
        <v>3110</v>
      </c>
      <c r="S127" s="13" t="str">
        <f>Show!$B$144&amp;"S.26.04.01.07 Table label {"&amp;COLUMN($C$1)&amp;"}"</f>
        <v>!S.26.04.01.07 Table label {3}</v>
      </c>
      <c r="T127" s="13" t="str">
        <f>Show!$B$144&amp;"S.26.04.01.07 Table value {"&amp;COLUMN($D$1)&amp;"}"</f>
        <v>!S.26.04.01.07 Table value {4}</v>
      </c>
    </row>
    <row r="128" spans="2:20">
      <c r="B128" t="s">
        <v>3111</v>
      </c>
    </row>
    <row r="129" spans="2:20">
      <c r="B129" s="40" t="s">
        <v>4622</v>
      </c>
      <c r="C129" s="53" t="s">
        <v>3113</v>
      </c>
      <c r="D129" s="51"/>
    </row>
    <row r="130" spans="2:20">
      <c r="S130" s="13" t="str">
        <f>Show!$B$144&amp;Show!$B$144&amp;"S.26.04.01.07 Table label {"&amp;COLUMN($C$1)&amp;"}"</f>
        <v>!!S.26.04.01.07 Table label {3}</v>
      </c>
      <c r="T130" s="13" t="str">
        <f>Show!$B$144&amp;Show!$B$144&amp;"S.26.04.01.07 Table value {"&amp;COLUMN($D$1)&amp;"}"</f>
        <v>!!S.26.04.01.07 Table value {4}</v>
      </c>
    </row>
    <row r="132" spans="2:20">
      <c r="D132" s="92" t="s">
        <v>2877</v>
      </c>
      <c r="E132" s="94"/>
    </row>
    <row r="133" spans="2:20">
      <c r="D133" s="95"/>
      <c r="E133" s="97"/>
    </row>
    <row r="134" spans="2:20" ht="45">
      <c r="D134" s="55" t="s">
        <v>4623</v>
      </c>
      <c r="E134" s="55" t="s">
        <v>4624</v>
      </c>
    </row>
    <row r="135" spans="2:20">
      <c r="D135" s="45" t="s">
        <v>3514</v>
      </c>
      <c r="E135" s="45" t="s">
        <v>3515</v>
      </c>
      <c r="S135" s="13" t="str">
        <f>Show!$B$144&amp;"S.26.04.01.07 Rows {"&amp;COLUMN($C$1)&amp;"}"&amp;"@ForceFilingCode:true"</f>
        <v>!S.26.04.01.07 Rows {3}@ForceFilingCode:true</v>
      </c>
      <c r="T135" s="13" t="str">
        <f>Show!$B$144&amp;"S.26.04.01.07 Columns {"&amp;COLUMN($D$1)&amp;"}"</f>
        <v>!S.26.04.01.07 Columns {4}</v>
      </c>
    </row>
    <row r="136" spans="2:20">
      <c r="B136" s="43" t="s">
        <v>2880</v>
      </c>
      <c r="C136" s="44" t="s">
        <v>2878</v>
      </c>
      <c r="D136" s="56"/>
      <c r="E136" s="57"/>
    </row>
    <row r="137" spans="2:20">
      <c r="B137" s="47" t="s">
        <v>4949</v>
      </c>
      <c r="C137" s="41" t="s">
        <v>3523</v>
      </c>
      <c r="D137" s="60"/>
      <c r="E137" s="60"/>
    </row>
    <row r="138" spans="2:20">
      <c r="B138" s="47" t="s">
        <v>4950</v>
      </c>
      <c r="C138" s="41" t="s">
        <v>3524</v>
      </c>
      <c r="D138" s="60"/>
      <c r="E138" s="60"/>
    </row>
    <row r="139" spans="2:20">
      <c r="B139" s="47" t="s">
        <v>4951</v>
      </c>
      <c r="C139" s="41" t="s">
        <v>3525</v>
      </c>
      <c r="D139" s="60"/>
      <c r="E139" s="60"/>
    </row>
    <row r="140" spans="2:20">
      <c r="B140" s="47" t="s">
        <v>4952</v>
      </c>
      <c r="C140" s="41" t="s">
        <v>4953</v>
      </c>
      <c r="D140" s="60"/>
      <c r="E140" s="60"/>
    </row>
    <row r="141" spans="2:20">
      <c r="B141" s="47" t="s">
        <v>4954</v>
      </c>
      <c r="C141" s="41" t="s">
        <v>4955</v>
      </c>
      <c r="D141" s="60"/>
      <c r="E141" s="60"/>
    </row>
    <row r="143" spans="2:20">
      <c r="S143" s="13" t="str">
        <f>Show!$B$144&amp;Show!$B$144&amp;"S.26.04.01.07 Rows {"&amp;COLUMN($C$1)&amp;"}"</f>
        <v>!!S.26.04.01.07 Rows {3}</v>
      </c>
      <c r="T143" s="13" t="str">
        <f>Show!$B$144&amp;Show!$B$144&amp;"S.26.04.01.07 Columns {"&amp;COLUMN($E$1)&amp;"}"</f>
        <v>!!S.26.04.01.07 Columns {5}</v>
      </c>
    </row>
    <row r="145" spans="2:20" ht="18.75">
      <c r="B145" s="88" t="s">
        <v>4956</v>
      </c>
      <c r="C145" s="87"/>
      <c r="D145" s="87"/>
      <c r="E145" s="87"/>
      <c r="F145" s="87"/>
      <c r="G145" s="87"/>
      <c r="H145" s="87"/>
      <c r="I145" s="87"/>
      <c r="J145" s="87"/>
      <c r="K145" s="87"/>
      <c r="L145" s="87"/>
    </row>
    <row r="147" spans="2:20">
      <c r="B147" t="s">
        <v>3110</v>
      </c>
      <c r="S147" s="13" t="str">
        <f>Show!$B$144&amp;"S.26.04.01.08 Table label {"&amp;COLUMN($C$1)&amp;"}"</f>
        <v>!S.26.04.01.08 Table label {3}</v>
      </c>
      <c r="T147" s="13" t="str">
        <f>Show!$B$144&amp;"S.26.04.01.08 Table value {"&amp;COLUMN($D$1)&amp;"}"</f>
        <v>!S.26.04.01.08 Table value {4}</v>
      </c>
    </row>
    <row r="148" spans="2:20">
      <c r="B148" t="s">
        <v>3111</v>
      </c>
    </row>
    <row r="149" spans="2:20">
      <c r="B149" s="40" t="s">
        <v>4622</v>
      </c>
      <c r="C149" s="53" t="s">
        <v>3113</v>
      </c>
      <c r="D149" s="51"/>
    </row>
    <row r="150" spans="2:20">
      <c r="S150" s="13" t="str">
        <f>Show!$B$144&amp;Show!$B$144&amp;"S.26.04.01.08 Table label {"&amp;COLUMN($C$1)&amp;"}"</f>
        <v>!!S.26.04.01.08 Table label {3}</v>
      </c>
      <c r="T150" s="13" t="str">
        <f>Show!$B$144&amp;Show!$B$144&amp;"S.26.04.01.08 Table value {"&amp;COLUMN($D$1)&amp;"}"</f>
        <v>!!S.26.04.01.08 Table value {4}</v>
      </c>
    </row>
    <row r="152" spans="2:20">
      <c r="D152" s="92" t="s">
        <v>2877</v>
      </c>
      <c r="E152" s="94"/>
    </row>
    <row r="153" spans="2:20">
      <c r="D153" s="95"/>
      <c r="E153" s="97"/>
    </row>
    <row r="154" spans="2:20" ht="45">
      <c r="D154" s="55" t="s">
        <v>4623</v>
      </c>
      <c r="E154" s="55" t="s">
        <v>4624</v>
      </c>
    </row>
    <row r="155" spans="2:20">
      <c r="D155" s="45" t="s">
        <v>3517</v>
      </c>
      <c r="E155" s="45" t="s">
        <v>3518</v>
      </c>
      <c r="S155" s="13" t="str">
        <f>Show!$B$144&amp;"S.26.04.01.08 Rows {"&amp;COLUMN($C$1)&amp;"}"&amp;"@ForceFilingCode:true"</f>
        <v>!S.26.04.01.08 Rows {3}@ForceFilingCode:true</v>
      </c>
      <c r="T155" s="13" t="str">
        <f>Show!$B$144&amp;"S.26.04.01.08 Columns {"&amp;COLUMN($D$1)&amp;"}"</f>
        <v>!S.26.04.01.08 Columns {4}</v>
      </c>
    </row>
    <row r="156" spans="2:20">
      <c r="B156" s="43" t="s">
        <v>2880</v>
      </c>
      <c r="C156" s="44" t="s">
        <v>2878</v>
      </c>
      <c r="D156" s="56"/>
      <c r="E156" s="57"/>
    </row>
    <row r="157" spans="2:20">
      <c r="B157" s="47" t="s">
        <v>4957</v>
      </c>
      <c r="C157" s="41" t="s">
        <v>3526</v>
      </c>
      <c r="D157" s="60"/>
      <c r="E157" s="60"/>
    </row>
    <row r="158" spans="2:20">
      <c r="B158" s="47" t="s">
        <v>4958</v>
      </c>
      <c r="C158" s="41" t="s">
        <v>3529</v>
      </c>
      <c r="D158" s="60"/>
      <c r="E158" s="60"/>
    </row>
    <row r="160" spans="2:20">
      <c r="S160" s="13" t="str">
        <f>Show!$B$144&amp;Show!$B$144&amp;"S.26.04.01.08 Rows {"&amp;COLUMN($C$1)&amp;"}"</f>
        <v>!!S.26.04.01.08 Rows {3}</v>
      </c>
      <c r="T160" s="13" t="str">
        <f>Show!$B$144&amp;Show!$B$144&amp;"S.26.04.01.08 Columns {"&amp;COLUMN($E$1)&amp;"}"</f>
        <v>!!S.26.04.01.08 Columns {5}</v>
      </c>
    </row>
    <row r="162" spans="2:20" ht="18.75">
      <c r="B162" s="88" t="s">
        <v>4959</v>
      </c>
      <c r="C162" s="87"/>
      <c r="D162" s="87"/>
      <c r="E162" s="87"/>
      <c r="F162" s="87"/>
      <c r="G162" s="87"/>
      <c r="H162" s="87"/>
      <c r="I162" s="87"/>
      <c r="J162" s="87"/>
      <c r="K162" s="87"/>
      <c r="L162" s="87"/>
    </row>
    <row r="164" spans="2:20">
      <c r="B164" t="s">
        <v>3110</v>
      </c>
      <c r="S164" s="13" t="str">
        <f>Show!$B$144&amp;"S.26.04.01.09 Table label {"&amp;COLUMN($C$1)&amp;"}"</f>
        <v>!S.26.04.01.09 Table label {3}</v>
      </c>
      <c r="T164" s="13" t="str">
        <f>Show!$B$144&amp;"S.26.04.01.09 Table value {"&amp;COLUMN($D$1)&amp;"}"</f>
        <v>!S.26.04.01.09 Table value {4}</v>
      </c>
    </row>
    <row r="165" spans="2:20">
      <c r="B165" t="s">
        <v>3111</v>
      </c>
    </row>
    <row r="166" spans="2:20">
      <c r="B166" s="40" t="s">
        <v>4622</v>
      </c>
      <c r="C166" s="53" t="s">
        <v>3113</v>
      </c>
      <c r="D166" s="51"/>
    </row>
    <row r="167" spans="2:20">
      <c r="S167" s="13" t="str">
        <f>Show!$B$144&amp;Show!$B$144&amp;"S.26.04.01.09 Table label {"&amp;COLUMN($C$1)&amp;"}"</f>
        <v>!!S.26.04.01.09 Table label {3}</v>
      </c>
      <c r="T167" s="13" t="str">
        <f>Show!$B$144&amp;Show!$B$144&amp;"S.26.04.01.09 Table value {"&amp;COLUMN($D$1)&amp;"}"</f>
        <v>!!S.26.04.01.09 Table value {4}</v>
      </c>
    </row>
    <row r="169" spans="2:20">
      <c r="D169" s="89" t="s">
        <v>2877</v>
      </c>
    </row>
    <row r="170" spans="2:20">
      <c r="D170" s="91"/>
    </row>
    <row r="171" spans="2:20">
      <c r="D171" s="55" t="s">
        <v>2574</v>
      </c>
    </row>
    <row r="172" spans="2:20">
      <c r="D172" s="45" t="s">
        <v>2879</v>
      </c>
      <c r="S172" s="13" t="str">
        <f>Show!$B$144&amp;"S.26.04.01.09 Rows {"&amp;COLUMN($C$1)&amp;"}"&amp;"@ForceFilingCode:true"</f>
        <v>!S.26.04.01.09 Rows {3}@ForceFilingCode:true</v>
      </c>
      <c r="T172" s="13" t="str">
        <f>Show!$B$144&amp;"S.26.04.01.09 Columns {"&amp;COLUMN($D$1)&amp;"}"</f>
        <v>!S.26.04.01.09 Columns {4}</v>
      </c>
    </row>
    <row r="173" spans="2:20">
      <c r="B173" s="43" t="s">
        <v>2880</v>
      </c>
      <c r="C173" s="44" t="s">
        <v>2878</v>
      </c>
      <c r="D173" s="46"/>
    </row>
    <row r="174" spans="2:20">
      <c r="B174" s="47" t="s">
        <v>4960</v>
      </c>
      <c r="C174" s="41" t="s">
        <v>2883</v>
      </c>
      <c r="D174" s="51"/>
    </row>
    <row r="175" spans="2:20">
      <c r="B175" s="47" t="s">
        <v>4961</v>
      </c>
      <c r="C175" s="41" t="s">
        <v>2885</v>
      </c>
      <c r="D175" s="51"/>
    </row>
    <row r="176" spans="2:20">
      <c r="B176" s="47" t="s">
        <v>4962</v>
      </c>
      <c r="C176" s="41" t="s">
        <v>2887</v>
      </c>
      <c r="D176" s="51"/>
    </row>
    <row r="177" spans="2:20">
      <c r="B177" s="47" t="s">
        <v>4963</v>
      </c>
      <c r="C177" s="41" t="s">
        <v>2889</v>
      </c>
      <c r="D177" s="51"/>
    </row>
    <row r="178" spans="2:20">
      <c r="B178" s="47" t="s">
        <v>4964</v>
      </c>
      <c r="C178" s="41" t="s">
        <v>3078</v>
      </c>
      <c r="D178" s="51"/>
    </row>
    <row r="179" spans="2:20">
      <c r="B179" s="47" t="s">
        <v>4965</v>
      </c>
      <c r="C179" s="41" t="s">
        <v>4966</v>
      </c>
      <c r="D179" s="51"/>
    </row>
    <row r="180" spans="2:20">
      <c r="B180" s="47" t="s">
        <v>4967</v>
      </c>
      <c r="C180" s="41" t="s">
        <v>2891</v>
      </c>
      <c r="D180" s="51"/>
    </row>
    <row r="182" spans="2:20">
      <c r="S182" s="13" t="str">
        <f>Show!$B$144&amp;Show!$B$144&amp;"S.26.04.01.09 Rows {"&amp;COLUMN($C$1)&amp;"}"</f>
        <v>!!S.26.04.01.09 Rows {3}</v>
      </c>
      <c r="T182" s="13" t="str">
        <f>Show!$B$144&amp;Show!$B$144&amp;"S.26.04.01.09 Columns {"&amp;COLUMN($D$1)&amp;"}"</f>
        <v>!!S.26.04.01.09 Columns {4}</v>
      </c>
    </row>
  </sheetData>
  <sheetProtection sheet="1" objects="1" scenarios="1"/>
  <mergeCells count="32">
    <mergeCell ref="B2:O2"/>
    <mergeCell ref="B5:L5"/>
    <mergeCell ref="D12:J13"/>
    <mergeCell ref="D14:E14"/>
    <mergeCell ref="F14:J14"/>
    <mergeCell ref="J15:J16"/>
    <mergeCell ref="B37:L37"/>
    <mergeCell ref="D44:D45"/>
    <mergeCell ref="B53:L53"/>
    <mergeCell ref="B91:L91"/>
    <mergeCell ref="D62:F62"/>
    <mergeCell ref="H62:K62"/>
    <mergeCell ref="B75:L75"/>
    <mergeCell ref="D82:D83"/>
    <mergeCell ref="D60:K61"/>
    <mergeCell ref="D15:D16"/>
    <mergeCell ref="E15:E16"/>
    <mergeCell ref="F15:F16"/>
    <mergeCell ref="G15:G16"/>
    <mergeCell ref="H15:H16"/>
    <mergeCell ref="I15:I16"/>
    <mergeCell ref="D98:H99"/>
    <mergeCell ref="B145:L145"/>
    <mergeCell ref="D152:E153"/>
    <mergeCell ref="B162:L162"/>
    <mergeCell ref="D169:D170"/>
    <mergeCell ref="D100:E100"/>
    <mergeCell ref="F100:H100"/>
    <mergeCell ref="B108:L108"/>
    <mergeCell ref="D115:D116"/>
    <mergeCell ref="B125:L125"/>
    <mergeCell ref="D132:E133"/>
  </mergeCells>
  <dataValidations count="4">
    <dataValidation type="list" errorStyle="warning" allowBlank="1" showInputMessage="1" showErrorMessage="1" sqref="D9 D41 D57 D79 D95 D112 D129 D149 D166" xr:uid="{4DE575A6-1842-4334-8A01-796AFE8DB2DA}">
      <formula1>hier_AO_1</formula1>
    </dataValidation>
    <dataValidation type="list" errorStyle="warning" allowBlank="1" showInputMessage="1" showErrorMessage="1" sqref="E66 E67 E68 E69" xr:uid="{E34331C3-8242-41FD-ABB8-9CFFEB482452}">
      <formula1>hier_AP_12</formula1>
    </dataValidation>
    <dataValidation type="list" errorStyle="warning" allowBlank="1" showInputMessage="1" showErrorMessage="1" sqref="D174 D175 D176 D177 D180" xr:uid="{DA4328A9-9C4D-437C-9D71-09DD1E81A138}">
      <formula1>hier_AP_17</formula1>
    </dataValidation>
    <dataValidation type="list" errorStyle="warning" allowBlank="1" showInputMessage="1" showErrorMessage="1" sqref="D179" xr:uid="{91CACEB0-2369-4E5F-AEC0-D1061D002351}">
      <formula1>hier_AP_26</formula1>
    </dataValidation>
  </dataValidations>
  <pageMargins left="0.7" right="0.7" top="0.75" bottom="0.75" header="0.3" footer="0.3"/>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C8D01-3A32-4E00-90AF-8A149DE0D4CD}">
  <sheetPr codeName="Blad149"/>
  <dimension ref="B2:T182"/>
  <sheetViews>
    <sheetView showGridLines="0" workbookViewId="0"/>
  </sheetViews>
  <sheetFormatPr defaultRowHeight="15"/>
  <cols>
    <col min="2" max="2" width="64.42578125" bestFit="1" customWidth="1"/>
    <col min="4" max="4" width="40.7109375" customWidth="1"/>
    <col min="5" max="11" width="15.7109375" customWidth="1"/>
  </cols>
  <sheetData>
    <row r="2" spans="2:20" ht="23.25">
      <c r="B2" s="86" t="s">
        <v>726</v>
      </c>
      <c r="C2" s="87"/>
      <c r="D2" s="87"/>
      <c r="E2" s="87"/>
      <c r="F2" s="87"/>
      <c r="G2" s="87"/>
      <c r="H2" s="87"/>
      <c r="I2" s="87"/>
      <c r="J2" s="87"/>
      <c r="K2" s="87"/>
      <c r="L2" s="87"/>
      <c r="M2" s="87"/>
      <c r="N2" s="87"/>
      <c r="O2" s="87"/>
    </row>
    <row r="5" spans="2:20" ht="18.75">
      <c r="B5" s="88" t="s">
        <v>4968</v>
      </c>
      <c r="C5" s="87"/>
      <c r="D5" s="87"/>
      <c r="E5" s="87"/>
      <c r="F5" s="87"/>
      <c r="G5" s="87"/>
      <c r="H5" s="87"/>
      <c r="I5" s="87"/>
      <c r="J5" s="87"/>
      <c r="K5" s="87"/>
      <c r="L5" s="87"/>
    </row>
    <row r="7" spans="2:20">
      <c r="B7" t="s">
        <v>3110</v>
      </c>
      <c r="S7" s="13" t="str">
        <f>Show!$B$145&amp;"S.26.04.04.01 Table label {"&amp;COLUMN($C$1)&amp;"}"</f>
        <v>!S.26.04.04.01 Table label {3}</v>
      </c>
      <c r="T7" s="13" t="str">
        <f>Show!$B$145&amp;"S.26.04.04.01 Table value {"&amp;COLUMN($D$1)&amp;"}"</f>
        <v>!S.26.04.04.01 Table value {4}</v>
      </c>
    </row>
    <row r="8" spans="2:20">
      <c r="B8" t="s">
        <v>3111</v>
      </c>
    </row>
    <row r="9" spans="2:20">
      <c r="B9" s="40" t="s">
        <v>4622</v>
      </c>
      <c r="C9" s="53" t="s">
        <v>3113</v>
      </c>
      <c r="D9" s="51"/>
    </row>
    <row r="10" spans="2:20">
      <c r="S10" s="13" t="str">
        <f>Show!$B$145&amp;Show!$B$145&amp;"S.26.04.04.01 Table label {"&amp;COLUMN($C$1)&amp;"}"</f>
        <v>!!S.26.04.04.01 Table label {3}</v>
      </c>
      <c r="T10" s="13" t="str">
        <f>Show!$B$145&amp;Show!$B$145&amp;"S.26.04.04.01 Table value {"&amp;COLUMN($D$1)&amp;"}"</f>
        <v>!!S.26.04.04.01 Table value {4}</v>
      </c>
    </row>
    <row r="12" spans="2:20">
      <c r="D12" s="92" t="s">
        <v>2877</v>
      </c>
      <c r="E12" s="93"/>
      <c r="F12" s="93"/>
      <c r="G12" s="93"/>
      <c r="H12" s="93"/>
      <c r="I12" s="93"/>
      <c r="J12" s="94"/>
    </row>
    <row r="13" spans="2:20">
      <c r="D13" s="95"/>
      <c r="E13" s="96"/>
      <c r="F13" s="96"/>
      <c r="G13" s="96"/>
      <c r="H13" s="96"/>
      <c r="I13" s="96"/>
      <c r="J13" s="97"/>
    </row>
    <row r="14" spans="2:20">
      <c r="D14" s="98" t="s">
        <v>4763</v>
      </c>
      <c r="E14" s="99"/>
      <c r="F14" s="98" t="s">
        <v>4764</v>
      </c>
      <c r="G14" s="100"/>
      <c r="H14" s="100"/>
      <c r="I14" s="100"/>
      <c r="J14" s="99"/>
    </row>
    <row r="15" spans="2:20">
      <c r="D15" s="89" t="s">
        <v>3252</v>
      </c>
      <c r="E15" s="89" t="s">
        <v>2389</v>
      </c>
      <c r="F15" s="89" t="s">
        <v>3252</v>
      </c>
      <c r="G15" s="89" t="s">
        <v>4765</v>
      </c>
      <c r="H15" s="89" t="s">
        <v>4623</v>
      </c>
      <c r="I15" s="89" t="s">
        <v>4766</v>
      </c>
      <c r="J15" s="89" t="s">
        <v>4624</v>
      </c>
    </row>
    <row r="16" spans="2:20">
      <c r="D16" s="91"/>
      <c r="E16" s="91"/>
      <c r="F16" s="91"/>
      <c r="G16" s="91"/>
      <c r="H16" s="91"/>
      <c r="I16" s="91"/>
      <c r="J16" s="91"/>
    </row>
    <row r="17" spans="2:20">
      <c r="D17" s="45" t="s">
        <v>3219</v>
      </c>
      <c r="E17" s="45" t="s">
        <v>3225</v>
      </c>
      <c r="F17" s="45" t="s">
        <v>3223</v>
      </c>
      <c r="G17" s="45" t="s">
        <v>3229</v>
      </c>
      <c r="H17" s="45" t="s">
        <v>3231</v>
      </c>
      <c r="I17" s="45" t="s">
        <v>3233</v>
      </c>
      <c r="J17" s="45" t="s">
        <v>3234</v>
      </c>
      <c r="S17" s="13" t="str">
        <f>Show!$B$145&amp;"S.26.04.04.01 Rows {"&amp;COLUMN($C$1)&amp;"}"&amp;"@ForceFilingCode:true"</f>
        <v>!S.26.04.04.01 Rows {3}@ForceFilingCode:true</v>
      </c>
      <c r="T17" s="13" t="str">
        <f>Show!$B$145&amp;"S.26.04.04.01 Columns {"&amp;COLUMN($D$1)&amp;"}"</f>
        <v>!S.26.04.04.01 Columns {4}</v>
      </c>
    </row>
    <row r="18" spans="2:20">
      <c r="B18" s="43" t="s">
        <v>2880</v>
      </c>
      <c r="C18" s="44" t="s">
        <v>2878</v>
      </c>
      <c r="D18" s="56"/>
      <c r="E18" s="66"/>
      <c r="F18" s="66"/>
      <c r="G18" s="66"/>
      <c r="H18" s="66"/>
      <c r="I18" s="66"/>
      <c r="J18" s="57"/>
    </row>
    <row r="19" spans="2:20">
      <c r="B19" s="47" t="s">
        <v>4910</v>
      </c>
      <c r="C19" s="41" t="s">
        <v>2899</v>
      </c>
      <c r="D19" s="60"/>
      <c r="E19" s="60"/>
      <c r="F19" s="60"/>
      <c r="G19" s="60"/>
      <c r="H19" s="60"/>
      <c r="I19" s="60"/>
      <c r="J19" s="60"/>
    </row>
    <row r="20" spans="2:20">
      <c r="B20" s="47" t="s">
        <v>4911</v>
      </c>
      <c r="C20" s="41" t="s">
        <v>2919</v>
      </c>
      <c r="D20" s="63"/>
      <c r="E20" s="63"/>
      <c r="F20" s="63"/>
      <c r="G20" s="63"/>
      <c r="H20" s="60"/>
      <c r="I20" s="63"/>
      <c r="J20" s="60"/>
    </row>
    <row r="21" spans="2:20">
      <c r="B21" s="47" t="s">
        <v>4912</v>
      </c>
      <c r="C21" s="44" t="s">
        <v>2939</v>
      </c>
      <c r="D21" s="58"/>
      <c r="E21" s="58"/>
      <c r="F21" s="58"/>
      <c r="G21" s="48"/>
      <c r="H21" s="64"/>
      <c r="I21" s="48"/>
      <c r="J21" s="60"/>
    </row>
    <row r="22" spans="2:20">
      <c r="B22" s="49" t="s">
        <v>4913</v>
      </c>
      <c r="C22" s="44" t="s">
        <v>2941</v>
      </c>
      <c r="D22" s="56"/>
      <c r="E22" s="56"/>
      <c r="F22" s="56"/>
      <c r="G22" s="46"/>
      <c r="H22" s="64"/>
      <c r="I22" s="46"/>
      <c r="J22" s="60"/>
    </row>
    <row r="23" spans="2:20">
      <c r="B23" s="61" t="s">
        <v>4914</v>
      </c>
      <c r="C23" s="41" t="s">
        <v>2943</v>
      </c>
      <c r="D23" s="60"/>
      <c r="E23" s="60"/>
      <c r="F23" s="60"/>
      <c r="G23" s="60"/>
      <c r="H23" s="60"/>
      <c r="I23" s="60"/>
      <c r="J23" s="60"/>
    </row>
    <row r="24" spans="2:20">
      <c r="B24" s="61" t="s">
        <v>4915</v>
      </c>
      <c r="C24" s="41" t="s">
        <v>2945</v>
      </c>
      <c r="D24" s="60"/>
      <c r="E24" s="60"/>
      <c r="F24" s="60"/>
      <c r="G24" s="60"/>
      <c r="H24" s="60"/>
      <c r="I24" s="60"/>
      <c r="J24" s="60"/>
    </row>
    <row r="25" spans="2:20">
      <c r="B25" s="49" t="s">
        <v>4916</v>
      </c>
      <c r="C25" s="41" t="s">
        <v>2947</v>
      </c>
      <c r="D25" s="63"/>
      <c r="E25" s="63"/>
      <c r="F25" s="63"/>
      <c r="G25" s="63"/>
      <c r="H25" s="60"/>
      <c r="I25" s="63"/>
      <c r="J25" s="60"/>
    </row>
    <row r="26" spans="2:20">
      <c r="B26" s="47" t="s">
        <v>4917</v>
      </c>
      <c r="C26" s="44" t="s">
        <v>2959</v>
      </c>
      <c r="D26" s="56"/>
      <c r="E26" s="56"/>
      <c r="F26" s="56"/>
      <c r="G26" s="46"/>
      <c r="H26" s="64"/>
      <c r="I26" s="46"/>
      <c r="J26" s="60"/>
    </row>
    <row r="27" spans="2:20">
      <c r="B27" s="49" t="s">
        <v>4883</v>
      </c>
      <c r="C27" s="41" t="s">
        <v>2961</v>
      </c>
      <c r="D27" s="60"/>
      <c r="E27" s="60"/>
      <c r="F27" s="60"/>
      <c r="G27" s="60"/>
      <c r="H27" s="60"/>
      <c r="I27" s="60"/>
      <c r="J27" s="60"/>
    </row>
    <row r="28" spans="2:20">
      <c r="B28" s="49" t="s">
        <v>4884</v>
      </c>
      <c r="C28" s="41" t="s">
        <v>2963</v>
      </c>
      <c r="D28" s="60"/>
      <c r="E28" s="60"/>
      <c r="F28" s="60"/>
      <c r="G28" s="60"/>
      <c r="H28" s="60"/>
      <c r="I28" s="60"/>
      <c r="J28" s="60"/>
    </row>
    <row r="29" spans="2:20">
      <c r="B29" s="49" t="s">
        <v>4885</v>
      </c>
      <c r="C29" s="41" t="s">
        <v>2965</v>
      </c>
      <c r="D29" s="60"/>
      <c r="E29" s="60"/>
      <c r="F29" s="60"/>
      <c r="G29" s="60"/>
      <c r="H29" s="60"/>
      <c r="I29" s="60"/>
      <c r="J29" s="60"/>
    </row>
    <row r="30" spans="2:20">
      <c r="B30" s="47" t="s">
        <v>4918</v>
      </c>
      <c r="C30" s="41" t="s">
        <v>2977</v>
      </c>
      <c r="D30" s="60"/>
      <c r="E30" s="60"/>
      <c r="F30" s="60"/>
      <c r="G30" s="60"/>
      <c r="H30" s="60"/>
      <c r="I30" s="60"/>
      <c r="J30" s="60"/>
    </row>
    <row r="31" spans="2:20">
      <c r="B31" s="47" t="s">
        <v>4919</v>
      </c>
      <c r="C31" s="41" t="s">
        <v>2997</v>
      </c>
      <c r="D31" s="63"/>
      <c r="E31" s="63"/>
      <c r="F31" s="63"/>
      <c r="G31" s="63"/>
      <c r="H31" s="60"/>
      <c r="I31" s="63"/>
      <c r="J31" s="60"/>
    </row>
    <row r="32" spans="2:20">
      <c r="B32" s="47" t="s">
        <v>4920</v>
      </c>
      <c r="C32" s="44" t="s">
        <v>3064</v>
      </c>
      <c r="D32" s="58"/>
      <c r="E32" s="58"/>
      <c r="F32" s="58"/>
      <c r="G32" s="48"/>
      <c r="H32" s="64"/>
      <c r="I32" s="48"/>
      <c r="J32" s="60"/>
    </row>
    <row r="33" spans="2:20">
      <c r="B33" s="47" t="s">
        <v>4921</v>
      </c>
      <c r="C33" s="44" t="s">
        <v>3120</v>
      </c>
      <c r="D33" s="56"/>
      <c r="E33" s="56"/>
      <c r="F33" s="56"/>
      <c r="G33" s="46"/>
      <c r="H33" s="64"/>
      <c r="I33" s="46"/>
      <c r="J33" s="60"/>
    </row>
    <row r="35" spans="2:20">
      <c r="S35" s="13" t="str">
        <f>Show!$B$145&amp;Show!$B$145&amp;"S.26.04.04.01 Rows {"&amp;COLUMN($C$1)&amp;"}"</f>
        <v>!!S.26.04.04.01 Rows {3}</v>
      </c>
      <c r="T35" s="13" t="str">
        <f>Show!$B$145&amp;Show!$B$145&amp;"S.26.04.04.01 Columns {"&amp;COLUMN($J$1)&amp;"}"</f>
        <v>!!S.26.04.04.01 Columns {10}</v>
      </c>
    </row>
    <row r="37" spans="2:20" ht="18.75">
      <c r="B37" s="88" t="s">
        <v>4969</v>
      </c>
      <c r="C37" s="87"/>
      <c r="D37" s="87"/>
      <c r="E37" s="87"/>
      <c r="F37" s="87"/>
      <c r="G37" s="87"/>
      <c r="H37" s="87"/>
      <c r="I37" s="87"/>
      <c r="J37" s="87"/>
      <c r="K37" s="87"/>
      <c r="L37" s="87"/>
    </row>
    <row r="39" spans="2:20">
      <c r="B39" t="s">
        <v>3110</v>
      </c>
      <c r="S39" s="13" t="str">
        <f>Show!$B$145&amp;"S.26.04.04.02 Table label {"&amp;COLUMN($C$1)&amp;"}"</f>
        <v>!S.26.04.04.02 Table label {3}</v>
      </c>
      <c r="T39" s="13" t="str">
        <f>Show!$B$145&amp;"S.26.04.04.02 Table value {"&amp;COLUMN($D$1)&amp;"}"</f>
        <v>!S.26.04.04.02 Table value {4}</v>
      </c>
    </row>
    <row r="40" spans="2:20">
      <c r="B40" t="s">
        <v>3111</v>
      </c>
    </row>
    <row r="41" spans="2:20">
      <c r="B41" s="40" t="s">
        <v>4622</v>
      </c>
      <c r="C41" s="53" t="s">
        <v>3113</v>
      </c>
      <c r="D41" s="51"/>
    </row>
    <row r="42" spans="2:20">
      <c r="S42" s="13" t="str">
        <f>Show!$B$145&amp;Show!$B$145&amp;"S.26.04.04.02 Table label {"&amp;COLUMN($C$1)&amp;"}"</f>
        <v>!!S.26.04.04.02 Table label {3}</v>
      </c>
      <c r="T42" s="13" t="str">
        <f>Show!$B$145&amp;Show!$B$145&amp;"S.26.04.04.02 Table value {"&amp;COLUMN($D$1)&amp;"}"</f>
        <v>!!S.26.04.04.02 Table value {4}</v>
      </c>
    </row>
    <row r="44" spans="2:20">
      <c r="D44" s="89" t="s">
        <v>2877</v>
      </c>
    </row>
    <row r="45" spans="2:20">
      <c r="D45" s="91"/>
    </row>
    <row r="46" spans="2:20">
      <c r="D46" s="55" t="s">
        <v>4687</v>
      </c>
    </row>
    <row r="47" spans="2:20">
      <c r="D47" s="45" t="s">
        <v>3236</v>
      </c>
      <c r="S47" s="13" t="str">
        <f>Show!$B$145&amp;"S.26.04.04.02 Rows {"&amp;COLUMN($C$1)&amp;"}"&amp;"@ForceFilingCode:true"</f>
        <v>!S.26.04.04.02 Rows {3}@ForceFilingCode:true</v>
      </c>
      <c r="T47" s="13" t="str">
        <f>Show!$B$145&amp;"S.26.04.04.02 Columns {"&amp;COLUMN($D$1)&amp;"}"</f>
        <v>!S.26.04.04.02 Columns {4}</v>
      </c>
    </row>
    <row r="48" spans="2:20">
      <c r="B48" s="43" t="s">
        <v>2880</v>
      </c>
      <c r="C48" s="44" t="s">
        <v>2878</v>
      </c>
      <c r="D48" s="46"/>
    </row>
    <row r="49" spans="2:20">
      <c r="B49" s="47" t="s">
        <v>4892</v>
      </c>
      <c r="C49" s="41" t="s">
        <v>3140</v>
      </c>
      <c r="D49" s="70"/>
    </row>
    <row r="51" spans="2:20">
      <c r="S51" s="13" t="str">
        <f>Show!$B$145&amp;Show!$B$145&amp;"S.26.04.04.02 Rows {"&amp;COLUMN($C$1)&amp;"}"</f>
        <v>!!S.26.04.04.02 Rows {3}</v>
      </c>
      <c r="T51" s="13" t="str">
        <f>Show!$B$145&amp;Show!$B$145&amp;"S.26.04.04.02 Columns {"&amp;COLUMN($D$1)&amp;"}"</f>
        <v>!!S.26.04.04.02 Columns {4}</v>
      </c>
    </row>
    <row r="53" spans="2:20" ht="18.75">
      <c r="B53" s="88" t="s">
        <v>4970</v>
      </c>
      <c r="C53" s="87"/>
      <c r="D53" s="87"/>
      <c r="E53" s="87"/>
      <c r="F53" s="87"/>
      <c r="G53" s="87"/>
      <c r="H53" s="87"/>
      <c r="I53" s="87"/>
      <c r="J53" s="87"/>
      <c r="K53" s="87"/>
      <c r="L53" s="87"/>
    </row>
    <row r="55" spans="2:20">
      <c r="B55" t="s">
        <v>3110</v>
      </c>
      <c r="S55" s="13" t="str">
        <f>Show!$B$145&amp;"S.26.04.04.03 Table label {"&amp;COLUMN($C$1)&amp;"}"</f>
        <v>!S.26.04.04.03 Table label {3}</v>
      </c>
      <c r="T55" s="13" t="str">
        <f>Show!$B$145&amp;"S.26.04.04.03 Table value {"&amp;COLUMN($D$1)&amp;"}"</f>
        <v>!S.26.04.04.03 Table value {4}</v>
      </c>
    </row>
    <row r="56" spans="2:20">
      <c r="B56" t="s">
        <v>3111</v>
      </c>
    </row>
    <row r="57" spans="2:20">
      <c r="B57" s="40" t="s">
        <v>4622</v>
      </c>
      <c r="C57" s="53" t="s">
        <v>3113</v>
      </c>
      <c r="D57" s="51"/>
    </row>
    <row r="58" spans="2:20">
      <c r="S58" s="13" t="str">
        <f>Show!$B$145&amp;Show!$B$145&amp;"S.26.04.04.03 Table label {"&amp;COLUMN($C$1)&amp;"}"</f>
        <v>!!S.26.04.04.03 Table label {3}</v>
      </c>
      <c r="T58" s="13" t="str">
        <f>Show!$B$145&amp;Show!$B$145&amp;"S.26.04.04.03 Table value {"&amp;COLUMN($D$1)&amp;"}"</f>
        <v>!!S.26.04.04.03 Table value {4}</v>
      </c>
    </row>
    <row r="60" spans="2:20">
      <c r="D60" s="92" t="s">
        <v>2877</v>
      </c>
      <c r="E60" s="93"/>
      <c r="F60" s="93"/>
      <c r="G60" s="93"/>
      <c r="H60" s="93"/>
      <c r="I60" s="93"/>
      <c r="J60" s="93"/>
      <c r="K60" s="94"/>
    </row>
    <row r="61" spans="2:20">
      <c r="D61" s="95"/>
      <c r="E61" s="96"/>
      <c r="F61" s="96"/>
      <c r="G61" s="96"/>
      <c r="H61" s="96"/>
      <c r="I61" s="96"/>
      <c r="J61" s="96"/>
      <c r="K61" s="97"/>
    </row>
    <row r="62" spans="2:20" ht="45">
      <c r="D62" s="98" t="s">
        <v>4924</v>
      </c>
      <c r="E62" s="100"/>
      <c r="F62" s="99"/>
      <c r="G62" s="55" t="s">
        <v>4928</v>
      </c>
      <c r="H62" s="98" t="s">
        <v>4929</v>
      </c>
      <c r="I62" s="100"/>
      <c r="J62" s="100"/>
      <c r="K62" s="99"/>
    </row>
    <row r="63" spans="2:20" ht="60">
      <c r="D63" s="55" t="s">
        <v>4925</v>
      </c>
      <c r="E63" s="55" t="s">
        <v>4926</v>
      </c>
      <c r="F63" s="55" t="s">
        <v>4927</v>
      </c>
      <c r="G63" s="55" t="s">
        <v>4687</v>
      </c>
      <c r="H63" s="55" t="s">
        <v>4930</v>
      </c>
      <c r="I63" s="55" t="s">
        <v>4931</v>
      </c>
      <c r="J63" s="55" t="s">
        <v>4932</v>
      </c>
      <c r="K63" s="55" t="s">
        <v>4933</v>
      </c>
    </row>
    <row r="64" spans="2:20">
      <c r="D64" s="45" t="s">
        <v>3239</v>
      </c>
      <c r="E64" s="45" t="s">
        <v>3241</v>
      </c>
      <c r="F64" s="45" t="s">
        <v>3243</v>
      </c>
      <c r="G64" s="45" t="s">
        <v>3375</v>
      </c>
      <c r="H64" s="45" t="s">
        <v>3475</v>
      </c>
      <c r="I64" s="45" t="s">
        <v>3477</v>
      </c>
      <c r="J64" s="45" t="s">
        <v>3479</v>
      </c>
      <c r="K64" s="45" t="s">
        <v>3594</v>
      </c>
      <c r="S64" s="13" t="str">
        <f>Show!$B$145&amp;"S.26.04.04.03 Rows {"&amp;COLUMN($C$1)&amp;"}"&amp;"@ForceFilingCode:true"</f>
        <v>!S.26.04.04.03 Rows {3}@ForceFilingCode:true</v>
      </c>
      <c r="T64" s="13" t="str">
        <f>Show!$B$145&amp;"S.26.04.04.03 Columns {"&amp;COLUMN($D$1)&amp;"}"</f>
        <v>!S.26.04.04.03 Columns {4}</v>
      </c>
    </row>
    <row r="65" spans="2:20">
      <c r="B65" s="43" t="s">
        <v>2880</v>
      </c>
      <c r="C65" s="44" t="s">
        <v>2878</v>
      </c>
      <c r="D65" s="56"/>
      <c r="E65" s="66"/>
      <c r="F65" s="66"/>
      <c r="G65" s="66"/>
      <c r="H65" s="66"/>
      <c r="I65" s="66"/>
      <c r="J65" s="66"/>
      <c r="K65" s="57"/>
    </row>
    <row r="66" spans="2:20">
      <c r="B66" s="47" t="s">
        <v>4934</v>
      </c>
      <c r="C66" s="41" t="s">
        <v>3315</v>
      </c>
      <c r="D66" s="70"/>
      <c r="E66" s="51"/>
      <c r="F66" s="70"/>
      <c r="G66" s="70"/>
      <c r="H66" s="60"/>
      <c r="I66" s="60"/>
      <c r="J66" s="70"/>
      <c r="K66" s="60"/>
    </row>
    <row r="67" spans="2:20">
      <c r="B67" s="47" t="s">
        <v>4935</v>
      </c>
      <c r="C67" s="41" t="s">
        <v>3496</v>
      </c>
      <c r="D67" s="70"/>
      <c r="E67" s="51"/>
      <c r="F67" s="70"/>
      <c r="G67" s="70"/>
      <c r="H67" s="60"/>
      <c r="I67" s="60"/>
      <c r="J67" s="70"/>
      <c r="K67" s="60"/>
    </row>
    <row r="68" spans="2:20">
      <c r="B68" s="47" t="s">
        <v>4936</v>
      </c>
      <c r="C68" s="41" t="s">
        <v>3497</v>
      </c>
      <c r="D68" s="70"/>
      <c r="E68" s="51"/>
      <c r="F68" s="70"/>
      <c r="G68" s="70"/>
      <c r="H68" s="60"/>
      <c r="I68" s="60"/>
      <c r="J68" s="70"/>
      <c r="K68" s="60"/>
    </row>
    <row r="69" spans="2:20">
      <c r="B69" s="47" t="s">
        <v>3902</v>
      </c>
      <c r="C69" s="41" t="s">
        <v>3498</v>
      </c>
      <c r="D69" s="76"/>
      <c r="E69" s="68"/>
      <c r="F69" s="76"/>
      <c r="G69" s="76"/>
      <c r="H69" s="63"/>
      <c r="I69" s="63"/>
      <c r="J69" s="76"/>
      <c r="K69" s="60"/>
    </row>
    <row r="70" spans="2:20">
      <c r="B70" s="47" t="s">
        <v>4937</v>
      </c>
      <c r="C70" s="44" t="s">
        <v>3499</v>
      </c>
      <c r="D70" s="56"/>
      <c r="E70" s="58"/>
      <c r="F70" s="58"/>
      <c r="G70" s="58"/>
      <c r="H70" s="58"/>
      <c r="I70" s="58"/>
      <c r="J70" s="48"/>
      <c r="K70" s="63"/>
    </row>
    <row r="71" spans="2:20">
      <c r="B71" s="47" t="s">
        <v>4938</v>
      </c>
      <c r="C71" s="41" t="s">
        <v>4939</v>
      </c>
      <c r="D71" s="71"/>
      <c r="E71" s="56"/>
      <c r="F71" s="56"/>
      <c r="G71" s="56"/>
      <c r="H71" s="56"/>
      <c r="I71" s="56"/>
      <c r="J71" s="56"/>
      <c r="K71" s="46"/>
    </row>
    <row r="73" spans="2:20">
      <c r="S73" s="13" t="str">
        <f>Show!$B$145&amp;Show!$B$145&amp;"S.26.04.04.03 Rows {"&amp;COLUMN($C$1)&amp;"}"</f>
        <v>!!S.26.04.04.03 Rows {3}</v>
      </c>
      <c r="T73" s="13" t="str">
        <f>Show!$B$145&amp;Show!$B$145&amp;"S.26.04.04.03 Columns {"&amp;COLUMN($K$1)&amp;"}"</f>
        <v>!!S.26.04.04.03 Columns {11}</v>
      </c>
    </row>
    <row r="75" spans="2:20" ht="18.75">
      <c r="B75" s="88" t="s">
        <v>4971</v>
      </c>
      <c r="C75" s="87"/>
      <c r="D75" s="87"/>
      <c r="E75" s="87"/>
      <c r="F75" s="87"/>
      <c r="G75" s="87"/>
      <c r="H75" s="87"/>
      <c r="I75" s="87"/>
      <c r="J75" s="87"/>
      <c r="K75" s="87"/>
      <c r="L75" s="87"/>
    </row>
    <row r="77" spans="2:20">
      <c r="B77" t="s">
        <v>3110</v>
      </c>
      <c r="S77" s="13" t="str">
        <f>Show!$B$145&amp;"S.26.04.04.04 Table label {"&amp;COLUMN($C$1)&amp;"}"</f>
        <v>!S.26.04.04.04 Table label {3}</v>
      </c>
      <c r="T77" s="13" t="str">
        <f>Show!$B$145&amp;"S.26.04.04.04 Table value {"&amp;COLUMN($D$1)&amp;"}"</f>
        <v>!S.26.04.04.04 Table value {4}</v>
      </c>
    </row>
    <row r="78" spans="2:20">
      <c r="B78" t="s">
        <v>3111</v>
      </c>
    </row>
    <row r="79" spans="2:20">
      <c r="B79" s="40" t="s">
        <v>4622</v>
      </c>
      <c r="C79" s="53" t="s">
        <v>3113</v>
      </c>
      <c r="D79" s="51"/>
    </row>
    <row r="80" spans="2:20">
      <c r="S80" s="13" t="str">
        <f>Show!$B$145&amp;Show!$B$145&amp;"S.26.04.04.04 Table label {"&amp;COLUMN($C$1)&amp;"}"</f>
        <v>!!S.26.04.04.04 Table label {3}</v>
      </c>
      <c r="T80" s="13" t="str">
        <f>Show!$B$145&amp;Show!$B$145&amp;"S.26.04.04.04 Table value {"&amp;COLUMN($D$1)&amp;"}"</f>
        <v>!!S.26.04.04.04 Table value {4}</v>
      </c>
    </row>
    <row r="82" spans="2:20">
      <c r="D82" s="89" t="s">
        <v>2877</v>
      </c>
    </row>
    <row r="83" spans="2:20">
      <c r="D83" s="91"/>
    </row>
    <row r="84" spans="2:20">
      <c r="D84" s="55" t="s">
        <v>4643</v>
      </c>
    </row>
    <row r="85" spans="2:20">
      <c r="D85" s="45" t="s">
        <v>3596</v>
      </c>
      <c r="S85" s="13" t="str">
        <f>Show!$B$145&amp;"S.26.04.04.04 Rows {"&amp;COLUMN($C$1)&amp;"}"&amp;"@ForceFilingCode:true"</f>
        <v>!S.26.04.04.04 Rows {3}@ForceFilingCode:true</v>
      </c>
      <c r="T85" s="13" t="str">
        <f>Show!$B$145&amp;"S.26.04.04.04 Columns {"&amp;COLUMN($D$1)&amp;"}"</f>
        <v>!S.26.04.04.04 Columns {4}</v>
      </c>
    </row>
    <row r="86" spans="2:20">
      <c r="B86" s="43" t="s">
        <v>2880</v>
      </c>
      <c r="C86" s="44" t="s">
        <v>2878</v>
      </c>
      <c r="D86" s="46"/>
    </row>
    <row r="87" spans="2:20">
      <c r="B87" s="47" t="s">
        <v>4941</v>
      </c>
      <c r="C87" s="41" t="s">
        <v>3500</v>
      </c>
      <c r="D87" s="60"/>
    </row>
    <row r="89" spans="2:20">
      <c r="S89" s="13" t="str">
        <f>Show!$B$145&amp;Show!$B$145&amp;"S.26.04.04.04 Rows {"&amp;COLUMN($C$1)&amp;"}"</f>
        <v>!!S.26.04.04.04 Rows {3}</v>
      </c>
      <c r="T89" s="13" t="str">
        <f>Show!$B$145&amp;Show!$B$145&amp;"S.26.04.04.04 Columns {"&amp;COLUMN($D$1)&amp;"}"</f>
        <v>!!S.26.04.04.04 Columns {4}</v>
      </c>
    </row>
    <row r="91" spans="2:20" ht="18.75">
      <c r="B91" s="88" t="s">
        <v>4972</v>
      </c>
      <c r="C91" s="87"/>
      <c r="D91" s="87"/>
      <c r="E91" s="87"/>
      <c r="F91" s="87"/>
      <c r="G91" s="87"/>
      <c r="H91" s="87"/>
      <c r="I91" s="87"/>
      <c r="J91" s="87"/>
      <c r="K91" s="87"/>
      <c r="L91" s="87"/>
    </row>
    <row r="93" spans="2:20">
      <c r="B93" t="s">
        <v>3110</v>
      </c>
      <c r="S93" s="13" t="str">
        <f>Show!$B$145&amp;"S.26.04.04.05 Table label {"&amp;COLUMN($C$1)&amp;"}"</f>
        <v>!S.26.04.04.05 Table label {3}</v>
      </c>
      <c r="T93" s="13" t="str">
        <f>Show!$B$145&amp;"S.26.04.04.05 Table value {"&amp;COLUMN($D$1)&amp;"}"</f>
        <v>!S.26.04.04.05 Table value {4}</v>
      </c>
    </row>
    <row r="94" spans="2:20">
      <c r="B94" t="s">
        <v>3111</v>
      </c>
    </row>
    <row r="95" spans="2:20">
      <c r="B95" s="40" t="s">
        <v>4622</v>
      </c>
      <c r="C95" s="53" t="s">
        <v>3113</v>
      </c>
      <c r="D95" s="51"/>
    </row>
    <row r="96" spans="2:20">
      <c r="S96" s="13" t="str">
        <f>Show!$B$145&amp;Show!$B$145&amp;"S.26.04.04.05 Table label {"&amp;COLUMN($C$1)&amp;"}"</f>
        <v>!!S.26.04.04.05 Table label {3}</v>
      </c>
      <c r="T96" s="13" t="str">
        <f>Show!$B$145&amp;Show!$B$145&amp;"S.26.04.04.05 Table value {"&amp;COLUMN($D$1)&amp;"}"</f>
        <v>!!S.26.04.04.05 Table value {4}</v>
      </c>
    </row>
    <row r="98" spans="2:20">
      <c r="D98" s="92" t="s">
        <v>2877</v>
      </c>
      <c r="E98" s="93"/>
      <c r="F98" s="93"/>
      <c r="G98" s="93"/>
      <c r="H98" s="94"/>
    </row>
    <row r="99" spans="2:20">
      <c r="D99" s="95"/>
      <c r="E99" s="96"/>
      <c r="F99" s="96"/>
      <c r="G99" s="96"/>
      <c r="H99" s="97"/>
    </row>
    <row r="100" spans="2:20">
      <c r="D100" s="98" t="s">
        <v>4763</v>
      </c>
      <c r="E100" s="99"/>
      <c r="F100" s="98" t="s">
        <v>4764</v>
      </c>
      <c r="G100" s="100"/>
      <c r="H100" s="99"/>
    </row>
    <row r="101" spans="2:20" ht="30">
      <c r="D101" s="55" t="s">
        <v>3252</v>
      </c>
      <c r="E101" s="55" t="s">
        <v>2389</v>
      </c>
      <c r="F101" s="55" t="s">
        <v>3252</v>
      </c>
      <c r="G101" s="55" t="s">
        <v>2389</v>
      </c>
      <c r="H101" s="55" t="s">
        <v>4643</v>
      </c>
    </row>
    <row r="102" spans="2:20">
      <c r="D102" s="45" t="s">
        <v>3599</v>
      </c>
      <c r="E102" s="45" t="s">
        <v>3481</v>
      </c>
      <c r="F102" s="45" t="s">
        <v>3508</v>
      </c>
      <c r="G102" s="45" t="s">
        <v>3509</v>
      </c>
      <c r="H102" s="45" t="s">
        <v>3511</v>
      </c>
      <c r="S102" s="13" t="str">
        <f>Show!$B$145&amp;"S.26.04.04.05 Rows {"&amp;COLUMN($C$1)&amp;"}"&amp;"@ForceFilingCode:true"</f>
        <v>!S.26.04.04.05 Rows {3}@ForceFilingCode:true</v>
      </c>
      <c r="T102" s="13" t="str">
        <f>Show!$B$145&amp;"S.26.04.04.05 Columns {"&amp;COLUMN($D$1)&amp;"}"</f>
        <v>!S.26.04.04.05 Columns {4}</v>
      </c>
    </row>
    <row r="103" spans="2:20">
      <c r="B103" s="43" t="s">
        <v>2880</v>
      </c>
      <c r="C103" s="44" t="s">
        <v>2878</v>
      </c>
      <c r="D103" s="56"/>
      <c r="E103" s="66"/>
      <c r="F103" s="66"/>
      <c r="G103" s="66"/>
      <c r="H103" s="57"/>
    </row>
    <row r="104" spans="2:20">
      <c r="B104" s="47" t="s">
        <v>4943</v>
      </c>
      <c r="C104" s="41" t="s">
        <v>3502</v>
      </c>
      <c r="D104" s="60"/>
      <c r="E104" s="60"/>
      <c r="F104" s="60"/>
      <c r="G104" s="60"/>
      <c r="H104" s="60"/>
    </row>
    <row r="106" spans="2:20">
      <c r="S106" s="13" t="str">
        <f>Show!$B$145&amp;Show!$B$145&amp;"S.26.04.04.05 Rows {"&amp;COLUMN($C$1)&amp;"}"</f>
        <v>!!S.26.04.04.05 Rows {3}</v>
      </c>
      <c r="T106" s="13" t="str">
        <f>Show!$B$145&amp;Show!$B$145&amp;"S.26.04.04.05 Columns {"&amp;COLUMN($H$1)&amp;"}"</f>
        <v>!!S.26.04.04.05 Columns {8}</v>
      </c>
    </row>
    <row r="108" spans="2:20" ht="18.75">
      <c r="B108" s="88" t="s">
        <v>4973</v>
      </c>
      <c r="C108" s="87"/>
      <c r="D108" s="87"/>
      <c r="E108" s="87"/>
      <c r="F108" s="87"/>
      <c r="G108" s="87"/>
      <c r="H108" s="87"/>
      <c r="I108" s="87"/>
      <c r="J108" s="87"/>
      <c r="K108" s="87"/>
      <c r="L108" s="87"/>
    </row>
    <row r="110" spans="2:20">
      <c r="B110" t="s">
        <v>3110</v>
      </c>
      <c r="S110" s="13" t="str">
        <f>Show!$B$145&amp;"S.26.04.04.06 Table label {"&amp;COLUMN($C$1)&amp;"}"</f>
        <v>!S.26.04.04.06 Table label {3}</v>
      </c>
      <c r="T110" s="13" t="str">
        <f>Show!$B$145&amp;"S.26.04.04.06 Table value {"&amp;COLUMN($D$1)&amp;"}"</f>
        <v>!S.26.04.04.06 Table value {4}</v>
      </c>
    </row>
    <row r="111" spans="2:20">
      <c r="B111" t="s">
        <v>3111</v>
      </c>
    </row>
    <row r="112" spans="2:20">
      <c r="B112" s="40" t="s">
        <v>4622</v>
      </c>
      <c r="C112" s="53" t="s">
        <v>3113</v>
      </c>
      <c r="D112" s="51"/>
    </row>
    <row r="113" spans="2:20">
      <c r="S113" s="13" t="str">
        <f>Show!$B$145&amp;Show!$B$145&amp;"S.26.04.04.06 Table label {"&amp;COLUMN($C$1)&amp;"}"</f>
        <v>!!S.26.04.04.06 Table label {3}</v>
      </c>
      <c r="T113" s="13" t="str">
        <f>Show!$B$145&amp;Show!$B$145&amp;"S.26.04.04.06 Table value {"&amp;COLUMN($D$1)&amp;"}"</f>
        <v>!!S.26.04.04.06 Table value {4}</v>
      </c>
    </row>
    <row r="115" spans="2:20">
      <c r="D115" s="89" t="s">
        <v>2877</v>
      </c>
    </row>
    <row r="116" spans="2:20">
      <c r="D116" s="91"/>
    </row>
    <row r="117" spans="2:20">
      <c r="D117" s="55" t="s">
        <v>4643</v>
      </c>
    </row>
    <row r="118" spans="2:20">
      <c r="D118" s="45" t="s">
        <v>3513</v>
      </c>
      <c r="S118" s="13" t="str">
        <f>Show!$B$145&amp;"S.26.04.04.06 Rows {"&amp;COLUMN($C$1)&amp;"}"&amp;"@ForceFilingCode:true"</f>
        <v>!S.26.04.04.06 Rows {3}@ForceFilingCode:true</v>
      </c>
      <c r="T118" s="13" t="str">
        <f>Show!$B$145&amp;"S.26.04.04.06 Columns {"&amp;COLUMN($D$1)&amp;"}"</f>
        <v>!S.26.04.04.06 Columns {4}</v>
      </c>
    </row>
    <row r="119" spans="2:20">
      <c r="B119" s="43" t="s">
        <v>2880</v>
      </c>
      <c r="C119" s="44" t="s">
        <v>2878</v>
      </c>
      <c r="D119" s="46"/>
    </row>
    <row r="120" spans="2:20">
      <c r="B120" s="47" t="s">
        <v>4945</v>
      </c>
      <c r="C120" s="41" t="s">
        <v>3504</v>
      </c>
      <c r="D120" s="60"/>
    </row>
    <row r="121" spans="2:20">
      <c r="B121" s="47" t="s">
        <v>4946</v>
      </c>
      <c r="C121" s="41" t="s">
        <v>4947</v>
      </c>
      <c r="D121" s="60"/>
    </row>
    <row r="123" spans="2:20">
      <c r="S123" s="13" t="str">
        <f>Show!$B$145&amp;Show!$B$145&amp;"S.26.04.04.06 Rows {"&amp;COLUMN($C$1)&amp;"}"</f>
        <v>!!S.26.04.04.06 Rows {3}</v>
      </c>
      <c r="T123" s="13" t="str">
        <f>Show!$B$145&amp;Show!$B$145&amp;"S.26.04.04.06 Columns {"&amp;COLUMN($D$1)&amp;"}"</f>
        <v>!!S.26.04.04.06 Columns {4}</v>
      </c>
    </row>
    <row r="125" spans="2:20" ht="18.75">
      <c r="B125" s="88" t="s">
        <v>4974</v>
      </c>
      <c r="C125" s="87"/>
      <c r="D125" s="87"/>
      <c r="E125" s="87"/>
      <c r="F125" s="87"/>
      <c r="G125" s="87"/>
      <c r="H125" s="87"/>
      <c r="I125" s="87"/>
      <c r="J125" s="87"/>
      <c r="K125" s="87"/>
      <c r="L125" s="87"/>
    </row>
    <row r="127" spans="2:20">
      <c r="B127" t="s">
        <v>3110</v>
      </c>
      <c r="S127" s="13" t="str">
        <f>Show!$B$145&amp;"S.26.04.04.07 Table label {"&amp;COLUMN($C$1)&amp;"}"</f>
        <v>!S.26.04.04.07 Table label {3}</v>
      </c>
      <c r="T127" s="13" t="str">
        <f>Show!$B$145&amp;"S.26.04.04.07 Table value {"&amp;COLUMN($D$1)&amp;"}"</f>
        <v>!S.26.04.04.07 Table value {4}</v>
      </c>
    </row>
    <row r="128" spans="2:20">
      <c r="B128" t="s">
        <v>3111</v>
      </c>
    </row>
    <row r="129" spans="2:20">
      <c r="B129" s="40" t="s">
        <v>4622</v>
      </c>
      <c r="C129" s="53" t="s">
        <v>3113</v>
      </c>
      <c r="D129" s="51"/>
    </row>
    <row r="130" spans="2:20">
      <c r="S130" s="13" t="str">
        <f>Show!$B$145&amp;Show!$B$145&amp;"S.26.04.04.07 Table label {"&amp;COLUMN($C$1)&amp;"}"</f>
        <v>!!S.26.04.04.07 Table label {3}</v>
      </c>
      <c r="T130" s="13" t="str">
        <f>Show!$B$145&amp;Show!$B$145&amp;"S.26.04.04.07 Table value {"&amp;COLUMN($D$1)&amp;"}"</f>
        <v>!!S.26.04.04.07 Table value {4}</v>
      </c>
    </row>
    <row r="132" spans="2:20">
      <c r="D132" s="92" t="s">
        <v>2877</v>
      </c>
      <c r="E132" s="94"/>
    </row>
    <row r="133" spans="2:20">
      <c r="D133" s="95"/>
      <c r="E133" s="97"/>
    </row>
    <row r="134" spans="2:20" ht="45">
      <c r="D134" s="55" t="s">
        <v>4623</v>
      </c>
      <c r="E134" s="55" t="s">
        <v>4624</v>
      </c>
    </row>
    <row r="135" spans="2:20">
      <c r="D135" s="45" t="s">
        <v>3514</v>
      </c>
      <c r="E135" s="45" t="s">
        <v>3515</v>
      </c>
      <c r="S135" s="13" t="str">
        <f>Show!$B$145&amp;"S.26.04.04.07 Rows {"&amp;COLUMN($C$1)&amp;"}"&amp;"@ForceFilingCode:true"</f>
        <v>!S.26.04.04.07 Rows {3}@ForceFilingCode:true</v>
      </c>
      <c r="T135" s="13" t="str">
        <f>Show!$B$145&amp;"S.26.04.04.07 Columns {"&amp;COLUMN($D$1)&amp;"}"</f>
        <v>!S.26.04.04.07 Columns {4}</v>
      </c>
    </row>
    <row r="136" spans="2:20">
      <c r="B136" s="43" t="s">
        <v>2880</v>
      </c>
      <c r="C136" s="44" t="s">
        <v>2878</v>
      </c>
      <c r="D136" s="56"/>
      <c r="E136" s="57"/>
    </row>
    <row r="137" spans="2:20">
      <c r="B137" s="47" t="s">
        <v>4949</v>
      </c>
      <c r="C137" s="41" t="s">
        <v>3523</v>
      </c>
      <c r="D137" s="60"/>
      <c r="E137" s="60"/>
    </row>
    <row r="138" spans="2:20">
      <c r="B138" s="47" t="s">
        <v>4950</v>
      </c>
      <c r="C138" s="41" t="s">
        <v>3524</v>
      </c>
      <c r="D138" s="60"/>
      <c r="E138" s="60"/>
    </row>
    <row r="139" spans="2:20">
      <c r="B139" s="47" t="s">
        <v>4951</v>
      </c>
      <c r="C139" s="41" t="s">
        <v>3525</v>
      </c>
      <c r="D139" s="60"/>
      <c r="E139" s="60"/>
    </row>
    <row r="140" spans="2:20">
      <c r="B140" s="47" t="s">
        <v>4952</v>
      </c>
      <c r="C140" s="41" t="s">
        <v>4953</v>
      </c>
      <c r="D140" s="60"/>
      <c r="E140" s="60"/>
    </row>
    <row r="141" spans="2:20">
      <c r="B141" s="47" t="s">
        <v>4954</v>
      </c>
      <c r="C141" s="41" t="s">
        <v>4955</v>
      </c>
      <c r="D141" s="60"/>
      <c r="E141" s="60"/>
    </row>
    <row r="143" spans="2:20">
      <c r="S143" s="13" t="str">
        <f>Show!$B$145&amp;Show!$B$145&amp;"S.26.04.04.07 Rows {"&amp;COLUMN($C$1)&amp;"}"</f>
        <v>!!S.26.04.04.07 Rows {3}</v>
      </c>
      <c r="T143" s="13" t="str">
        <f>Show!$B$145&amp;Show!$B$145&amp;"S.26.04.04.07 Columns {"&amp;COLUMN($E$1)&amp;"}"</f>
        <v>!!S.26.04.04.07 Columns {5}</v>
      </c>
    </row>
    <row r="145" spans="2:20" ht="18.75">
      <c r="B145" s="88" t="s">
        <v>4975</v>
      </c>
      <c r="C145" s="87"/>
      <c r="D145" s="87"/>
      <c r="E145" s="87"/>
      <c r="F145" s="87"/>
      <c r="G145" s="87"/>
      <c r="H145" s="87"/>
      <c r="I145" s="87"/>
      <c r="J145" s="87"/>
      <c r="K145" s="87"/>
      <c r="L145" s="87"/>
    </row>
    <row r="147" spans="2:20">
      <c r="B147" t="s">
        <v>3110</v>
      </c>
      <c r="S147" s="13" t="str">
        <f>Show!$B$145&amp;"S.26.04.04.08 Table label {"&amp;COLUMN($C$1)&amp;"}"</f>
        <v>!S.26.04.04.08 Table label {3}</v>
      </c>
      <c r="T147" s="13" t="str">
        <f>Show!$B$145&amp;"S.26.04.04.08 Table value {"&amp;COLUMN($D$1)&amp;"}"</f>
        <v>!S.26.04.04.08 Table value {4}</v>
      </c>
    </row>
    <row r="148" spans="2:20">
      <c r="B148" t="s">
        <v>3111</v>
      </c>
    </row>
    <row r="149" spans="2:20">
      <c r="B149" s="40" t="s">
        <v>4622</v>
      </c>
      <c r="C149" s="53" t="s">
        <v>3113</v>
      </c>
      <c r="D149" s="51"/>
    </row>
    <row r="150" spans="2:20">
      <c r="S150" s="13" t="str">
        <f>Show!$B$145&amp;Show!$B$145&amp;"S.26.04.04.08 Table label {"&amp;COLUMN($C$1)&amp;"}"</f>
        <v>!!S.26.04.04.08 Table label {3}</v>
      </c>
      <c r="T150" s="13" t="str">
        <f>Show!$B$145&amp;Show!$B$145&amp;"S.26.04.04.08 Table value {"&amp;COLUMN($D$1)&amp;"}"</f>
        <v>!!S.26.04.04.08 Table value {4}</v>
      </c>
    </row>
    <row r="152" spans="2:20">
      <c r="D152" s="92" t="s">
        <v>2877</v>
      </c>
      <c r="E152" s="94"/>
    </row>
    <row r="153" spans="2:20">
      <c r="D153" s="95"/>
      <c r="E153" s="97"/>
    </row>
    <row r="154" spans="2:20" ht="45">
      <c r="D154" s="55" t="s">
        <v>4623</v>
      </c>
      <c r="E154" s="55" t="s">
        <v>4624</v>
      </c>
    </row>
    <row r="155" spans="2:20">
      <c r="D155" s="45" t="s">
        <v>3517</v>
      </c>
      <c r="E155" s="45" t="s">
        <v>3518</v>
      </c>
      <c r="S155" s="13" t="str">
        <f>Show!$B$145&amp;"S.26.04.04.08 Rows {"&amp;COLUMN($C$1)&amp;"}"&amp;"@ForceFilingCode:true"</f>
        <v>!S.26.04.04.08 Rows {3}@ForceFilingCode:true</v>
      </c>
      <c r="T155" s="13" t="str">
        <f>Show!$B$145&amp;"S.26.04.04.08 Columns {"&amp;COLUMN($D$1)&amp;"}"</f>
        <v>!S.26.04.04.08 Columns {4}</v>
      </c>
    </row>
    <row r="156" spans="2:20">
      <c r="B156" s="43" t="s">
        <v>2880</v>
      </c>
      <c r="C156" s="44" t="s">
        <v>2878</v>
      </c>
      <c r="D156" s="56"/>
      <c r="E156" s="57"/>
    </row>
    <row r="157" spans="2:20">
      <c r="B157" s="47" t="s">
        <v>4957</v>
      </c>
      <c r="C157" s="41" t="s">
        <v>3526</v>
      </c>
      <c r="D157" s="60"/>
      <c r="E157" s="60"/>
    </row>
    <row r="158" spans="2:20">
      <c r="B158" s="47" t="s">
        <v>4958</v>
      </c>
      <c r="C158" s="41" t="s">
        <v>3529</v>
      </c>
      <c r="D158" s="60"/>
      <c r="E158" s="60"/>
    </row>
    <row r="160" spans="2:20">
      <c r="S160" s="13" t="str">
        <f>Show!$B$145&amp;Show!$B$145&amp;"S.26.04.04.08 Rows {"&amp;COLUMN($C$1)&amp;"}"</f>
        <v>!!S.26.04.04.08 Rows {3}</v>
      </c>
      <c r="T160" s="13" t="str">
        <f>Show!$B$145&amp;Show!$B$145&amp;"S.26.04.04.08 Columns {"&amp;COLUMN($E$1)&amp;"}"</f>
        <v>!!S.26.04.04.08 Columns {5}</v>
      </c>
    </row>
    <row r="162" spans="2:20" ht="18.75">
      <c r="B162" s="88" t="s">
        <v>4976</v>
      </c>
      <c r="C162" s="87"/>
      <c r="D162" s="87"/>
      <c r="E162" s="87"/>
      <c r="F162" s="87"/>
      <c r="G162" s="87"/>
      <c r="H162" s="87"/>
      <c r="I162" s="87"/>
      <c r="J162" s="87"/>
      <c r="K162" s="87"/>
      <c r="L162" s="87"/>
    </row>
    <row r="164" spans="2:20">
      <c r="B164" t="s">
        <v>3110</v>
      </c>
      <c r="S164" s="13" t="str">
        <f>Show!$B$145&amp;"S.26.04.04.09 Table label {"&amp;COLUMN($C$1)&amp;"}"</f>
        <v>!S.26.04.04.09 Table label {3}</v>
      </c>
      <c r="T164" s="13" t="str">
        <f>Show!$B$145&amp;"S.26.04.04.09 Table value {"&amp;COLUMN($D$1)&amp;"}"</f>
        <v>!S.26.04.04.09 Table value {4}</v>
      </c>
    </row>
    <row r="165" spans="2:20">
      <c r="B165" t="s">
        <v>3111</v>
      </c>
    </row>
    <row r="166" spans="2:20">
      <c r="B166" s="40" t="s">
        <v>4622</v>
      </c>
      <c r="C166" s="53" t="s">
        <v>3113</v>
      </c>
      <c r="D166" s="51"/>
    </row>
    <row r="167" spans="2:20">
      <c r="S167" s="13" t="str">
        <f>Show!$B$145&amp;Show!$B$145&amp;"S.26.04.04.09 Table label {"&amp;COLUMN($C$1)&amp;"}"</f>
        <v>!!S.26.04.04.09 Table label {3}</v>
      </c>
      <c r="T167" s="13" t="str">
        <f>Show!$B$145&amp;Show!$B$145&amp;"S.26.04.04.09 Table value {"&amp;COLUMN($D$1)&amp;"}"</f>
        <v>!!S.26.04.04.09 Table value {4}</v>
      </c>
    </row>
    <row r="169" spans="2:20">
      <c r="D169" s="89" t="s">
        <v>2877</v>
      </c>
    </row>
    <row r="170" spans="2:20">
      <c r="D170" s="91"/>
    </row>
    <row r="171" spans="2:20">
      <c r="D171" s="55" t="s">
        <v>2574</v>
      </c>
    </row>
    <row r="172" spans="2:20">
      <c r="D172" s="45" t="s">
        <v>2879</v>
      </c>
      <c r="S172" s="13" t="str">
        <f>Show!$B$145&amp;"S.26.04.04.09 Rows {"&amp;COLUMN($C$1)&amp;"}"&amp;"@ForceFilingCode:true"</f>
        <v>!S.26.04.04.09 Rows {3}@ForceFilingCode:true</v>
      </c>
      <c r="T172" s="13" t="str">
        <f>Show!$B$145&amp;"S.26.04.04.09 Columns {"&amp;COLUMN($D$1)&amp;"}"</f>
        <v>!S.26.04.04.09 Columns {4}</v>
      </c>
    </row>
    <row r="173" spans="2:20">
      <c r="B173" s="43" t="s">
        <v>2880</v>
      </c>
      <c r="C173" s="44" t="s">
        <v>2878</v>
      </c>
      <c r="D173" s="46"/>
    </row>
    <row r="174" spans="2:20">
      <c r="B174" s="47" t="s">
        <v>4960</v>
      </c>
      <c r="C174" s="41" t="s">
        <v>2883</v>
      </c>
      <c r="D174" s="51"/>
    </row>
    <row r="175" spans="2:20">
      <c r="B175" s="47" t="s">
        <v>4961</v>
      </c>
      <c r="C175" s="41" t="s">
        <v>2885</v>
      </c>
      <c r="D175" s="51"/>
    </row>
    <row r="176" spans="2:20">
      <c r="B176" s="47" t="s">
        <v>4962</v>
      </c>
      <c r="C176" s="41" t="s">
        <v>2887</v>
      </c>
      <c r="D176" s="51"/>
    </row>
    <row r="177" spans="2:20">
      <c r="B177" s="47" t="s">
        <v>4963</v>
      </c>
      <c r="C177" s="41" t="s">
        <v>2889</v>
      </c>
      <c r="D177" s="51"/>
    </row>
    <row r="178" spans="2:20">
      <c r="B178" s="47" t="s">
        <v>4964</v>
      </c>
      <c r="C178" s="41" t="s">
        <v>3078</v>
      </c>
      <c r="D178" s="51"/>
    </row>
    <row r="179" spans="2:20">
      <c r="B179" s="47" t="s">
        <v>4965</v>
      </c>
      <c r="C179" s="41" t="s">
        <v>4966</v>
      </c>
      <c r="D179" s="51"/>
    </row>
    <row r="180" spans="2:20">
      <c r="B180" s="47" t="s">
        <v>4967</v>
      </c>
      <c r="C180" s="41" t="s">
        <v>2891</v>
      </c>
      <c r="D180" s="51"/>
    </row>
    <row r="182" spans="2:20">
      <c r="S182" s="13" t="str">
        <f>Show!$B$145&amp;Show!$B$145&amp;"S.26.04.04.09 Rows {"&amp;COLUMN($C$1)&amp;"}"</f>
        <v>!!S.26.04.04.09 Rows {3}</v>
      </c>
      <c r="T182" s="13" t="str">
        <f>Show!$B$145&amp;Show!$B$145&amp;"S.26.04.04.09 Columns {"&amp;COLUMN($D$1)&amp;"}"</f>
        <v>!!S.26.04.04.09 Columns {4}</v>
      </c>
    </row>
  </sheetData>
  <sheetProtection sheet="1" objects="1" scenarios="1"/>
  <mergeCells count="32">
    <mergeCell ref="B2:O2"/>
    <mergeCell ref="B5:L5"/>
    <mergeCell ref="D12:J13"/>
    <mergeCell ref="D14:E14"/>
    <mergeCell ref="F14:J14"/>
    <mergeCell ref="J15:J16"/>
    <mergeCell ref="B37:L37"/>
    <mergeCell ref="D44:D45"/>
    <mergeCell ref="B53:L53"/>
    <mergeCell ref="B91:L91"/>
    <mergeCell ref="D62:F62"/>
    <mergeCell ref="H62:K62"/>
    <mergeCell ref="B75:L75"/>
    <mergeCell ref="D82:D83"/>
    <mergeCell ref="D60:K61"/>
    <mergeCell ref="D15:D16"/>
    <mergeCell ref="E15:E16"/>
    <mergeCell ref="F15:F16"/>
    <mergeCell ref="G15:G16"/>
    <mergeCell ref="H15:H16"/>
    <mergeCell ref="I15:I16"/>
    <mergeCell ref="D98:H99"/>
    <mergeCell ref="B145:L145"/>
    <mergeCell ref="D152:E153"/>
    <mergeCell ref="B162:L162"/>
    <mergeCell ref="D169:D170"/>
    <mergeCell ref="D100:E100"/>
    <mergeCell ref="F100:H100"/>
    <mergeCell ref="B108:L108"/>
    <mergeCell ref="D115:D116"/>
    <mergeCell ref="B125:L125"/>
    <mergeCell ref="D132:E133"/>
  </mergeCells>
  <dataValidations count="4">
    <dataValidation type="list" errorStyle="warning" allowBlank="1" showInputMessage="1" showErrorMessage="1" sqref="D9 D41 D57 D79 D95 D112 D129 D149 D166" xr:uid="{9B0466EF-710D-4A5E-84D5-0EF5CF72ED7A}">
      <formula1>hier_AO_1</formula1>
    </dataValidation>
    <dataValidation type="list" errorStyle="warning" allowBlank="1" showInputMessage="1" showErrorMessage="1" sqref="E66 E67 E68 E69" xr:uid="{6E70518A-0862-48EC-A985-D59C8CBB7774}">
      <formula1>hier_AP_12</formula1>
    </dataValidation>
    <dataValidation type="list" errorStyle="warning" allowBlank="1" showInputMessage="1" showErrorMessage="1" sqref="D174 D175 D176 D177 D180" xr:uid="{AADA4F51-6627-4F91-A141-09B84665E2DA}">
      <formula1>hier_AP_17</formula1>
    </dataValidation>
    <dataValidation type="list" errorStyle="warning" allowBlank="1" showInputMessage="1" showErrorMessage="1" sqref="D179" xr:uid="{E54E4D5F-1C3A-44AB-9F87-B93F679C81AB}">
      <formula1>hier_AP_26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3EBA4-B2A6-4036-8161-6B002F22B8B2}">
  <sheetPr codeName="Blad15"/>
  <dimension ref="B2:O24"/>
  <sheetViews>
    <sheetView showGridLines="0" workbookViewId="0"/>
  </sheetViews>
  <sheetFormatPr defaultRowHeight="15"/>
  <cols>
    <col min="2" max="2" width="61.85546875" bestFit="1" customWidth="1"/>
    <col min="4" max="4" width="40.7109375" customWidth="1"/>
  </cols>
  <sheetData>
    <row r="2" spans="2:15" ht="23.25">
      <c r="B2" s="86" t="s">
        <v>512</v>
      </c>
      <c r="C2" s="87"/>
      <c r="D2" s="87"/>
      <c r="E2" s="87"/>
      <c r="F2" s="87"/>
      <c r="G2" s="87"/>
      <c r="H2" s="87"/>
      <c r="I2" s="87"/>
      <c r="J2" s="87"/>
      <c r="K2" s="87"/>
      <c r="L2" s="87"/>
      <c r="M2" s="87"/>
      <c r="N2" s="87"/>
      <c r="O2" s="87"/>
    </row>
    <row r="5" spans="2:15" ht="18.75">
      <c r="B5" s="88" t="s">
        <v>3102</v>
      </c>
      <c r="C5" s="87"/>
      <c r="D5" s="87"/>
      <c r="E5" s="87"/>
      <c r="F5" s="87"/>
      <c r="G5" s="87"/>
      <c r="H5" s="87"/>
      <c r="I5" s="87"/>
      <c r="J5" s="87"/>
      <c r="K5" s="87"/>
      <c r="L5" s="87"/>
    </row>
    <row r="9" spans="2:15">
      <c r="D9" s="89" t="s">
        <v>2877</v>
      </c>
    </row>
    <row r="10" spans="2:15">
      <c r="D10" s="90"/>
    </row>
    <row r="11" spans="2:15">
      <c r="D11" s="90"/>
    </row>
    <row r="12" spans="2:15">
      <c r="D12" s="91"/>
    </row>
    <row r="13" spans="2:15">
      <c r="D13" s="45" t="s">
        <v>2879</v>
      </c>
      <c r="I13" s="13" t="str">
        <f>IF(COUNTIF(D:D,"Reported")&gt;0,Show!$B$11,"!")&amp;"S.01.01.13.01 Rows {"&amp;COLUMN($C$1)&amp;"}"&amp;"@ForceFilingCode:true"</f>
        <v>!S.01.01.13.01 Rows {3}@ForceFilingCode:true</v>
      </c>
      <c r="J13" s="13" t="str">
        <f>IF(COUNTIF(D:D,"Reported")&gt;0,Show!$B$11,"!")&amp;"S.01.01.13.01 Columns {"&amp;COLUMN($D$1)&amp;"}"</f>
        <v>!S.01.01.13.01 Columns {4}</v>
      </c>
    </row>
    <row r="14" spans="2:15">
      <c r="B14" s="43" t="s">
        <v>2880</v>
      </c>
      <c r="C14" s="44" t="s">
        <v>2878</v>
      </c>
      <c r="D14" s="48"/>
    </row>
    <row r="15" spans="2:15">
      <c r="B15" s="47" t="s">
        <v>2881</v>
      </c>
      <c r="C15" s="44" t="s">
        <v>2878</v>
      </c>
      <c r="D15" s="46"/>
    </row>
    <row r="16" spans="2:15">
      <c r="B16" s="52" t="s">
        <v>3030</v>
      </c>
      <c r="C16" s="41" t="s">
        <v>2883</v>
      </c>
      <c r="D16" s="51"/>
    </row>
    <row r="17" spans="2:10">
      <c r="B17" s="52" t="s">
        <v>3103</v>
      </c>
      <c r="C17" s="41" t="s">
        <v>2887</v>
      </c>
      <c r="D17" s="51"/>
    </row>
    <row r="18" spans="2:10">
      <c r="B18" s="52" t="s">
        <v>3104</v>
      </c>
      <c r="C18" s="41" t="s">
        <v>2901</v>
      </c>
      <c r="D18" s="51"/>
    </row>
    <row r="19" spans="2:10">
      <c r="B19" s="52" t="s">
        <v>3035</v>
      </c>
      <c r="C19" s="41" t="s">
        <v>2907</v>
      </c>
      <c r="D19" s="51"/>
    </row>
    <row r="20" spans="2:10">
      <c r="B20" s="52" t="s">
        <v>3105</v>
      </c>
      <c r="C20" s="41" t="s">
        <v>2961</v>
      </c>
      <c r="D20" s="51"/>
    </row>
    <row r="21" spans="2:10">
      <c r="B21" s="52" t="s">
        <v>3106</v>
      </c>
      <c r="C21" s="41" t="s">
        <v>3096</v>
      </c>
      <c r="D21" s="51"/>
    </row>
    <row r="22" spans="2:10">
      <c r="B22" s="52" t="s">
        <v>3097</v>
      </c>
      <c r="C22" s="41" t="s">
        <v>3098</v>
      </c>
      <c r="D22" s="51"/>
    </row>
    <row r="23" spans="2:10">
      <c r="B23" s="52" t="s">
        <v>3099</v>
      </c>
      <c r="C23" s="41" t="s">
        <v>3100</v>
      </c>
      <c r="D23" s="51"/>
    </row>
    <row r="24" spans="2:10">
      <c r="I24" s="13" t="str">
        <f>IF(COUNTIF(D:D,"Reported")&gt;0,Show!$B$11&amp;Show!$B$11,"!!")&amp;"S.01.01.13.01 Rows {"&amp;COLUMN($C$1)&amp;"}"</f>
        <v>!!S.01.01.13.01 Rows {3}</v>
      </c>
      <c r="J24" s="13" t="str">
        <f>IF(COUNTIF(D:D,"Reported")&gt;0,Show!$B$11&amp;Show!$B$11,"!!")&amp;"S.01.01.13.01 Columns {"&amp;COLUMN($D$1)&amp;"}"</f>
        <v>!!S.01.01.13.01 Columns {4}</v>
      </c>
    </row>
  </sheetData>
  <sheetProtection sheet="1" objects="1" scenarios="1"/>
  <mergeCells count="3">
    <mergeCell ref="B2:O2"/>
    <mergeCell ref="B5:L5"/>
    <mergeCell ref="D9:D12"/>
  </mergeCells>
  <dataValidations count="6">
    <dataValidation type="list" errorStyle="warning" allowBlank="1" showInputMessage="1" showErrorMessage="1" sqref="D16" xr:uid="{8A5193E3-5D63-423E-8FB2-EAD70F20F314}">
      <formula1>hier_CN_2</formula1>
    </dataValidation>
    <dataValidation type="list" errorStyle="warning" allowBlank="1" showInputMessage="1" showErrorMessage="1" sqref="D17" xr:uid="{55AA1D16-44B0-42EE-9D6E-1A8727780F7F}">
      <formula1>hier_CN_16</formula1>
    </dataValidation>
    <dataValidation type="list" errorStyle="warning" allowBlank="1" showInputMessage="1" showErrorMessage="1" sqref="D18 D20" xr:uid="{DB2B49F8-7DA8-4641-AE78-C8C0EC385971}">
      <formula1>hier_CN_114</formula1>
    </dataValidation>
    <dataValidation type="list" errorStyle="warning" allowBlank="1" showInputMessage="1" showErrorMessage="1" sqref="D19 D21" xr:uid="{4BADCF7D-6D8E-4CD6-941C-8336EDCB3E97}">
      <formula1>hier_CN_15</formula1>
    </dataValidation>
    <dataValidation type="list" errorStyle="warning" allowBlank="1" showInputMessage="1" showErrorMessage="1" sqref="D22" xr:uid="{64D53AB7-04E6-4511-85D2-E4E7966EF5D0}">
      <formula1>hier_CN_75</formula1>
    </dataValidation>
    <dataValidation type="list" errorStyle="warning" allowBlank="1" showInputMessage="1" showErrorMessage="1" sqref="D23" xr:uid="{02A0E5F1-BB01-4B9E-9725-1AD195E3DC4E}">
      <formula1>hier_CN_96</formula1>
    </dataValidation>
  </dataValidations>
  <hyperlinks>
    <hyperlink ref="B16" location="'S.01.02.04'!A1" display="S.01.02.04 - Basic Information - General" xr:uid="{B0C80AA4-5D31-4777-BBEA-10F94815F8E6}"/>
    <hyperlink ref="B17" location="'S.02.01.02'!A1" display="S.02.01.02 - Balance Sheet" xr:uid="{1CF23977-41BA-49E6-B97A-B1AF5BC6C110}"/>
    <hyperlink ref="B18" location="'S.05.01.13'!A1" display="S.05.01.13 - Premiums, claims and expenses by line of business" xr:uid="{A8CFB712-8ED5-475A-BC79-A5EBCC139E22}"/>
    <hyperlink ref="B19" location="'S.06.02.04'!A1" display="S.06.02.04 - List of assets" xr:uid="{8FD2B20C-3DB3-4B66-8DBB-564C81439B10}"/>
    <hyperlink ref="B20" location="'S.23.01.13'!A1" display="S.23.01.13 - Own funds" xr:uid="{64EB7B52-A13F-4E57-85D1-7EF0147B262E}"/>
    <hyperlink ref="B21" location="'S.25.04.13'!A1" display="S.25.04.13 - Solvency Capital Requirement" xr:uid="{76EF733B-899D-4981-B4CB-8C17168B7D36}"/>
    <hyperlink ref="B22" location="'S.39.01.11'!A1" display="S.39.01.11 - Profit and Loss" xr:uid="{B1441C13-7E15-48F7-88DC-6C1251C21219}"/>
    <hyperlink ref="B23" location="'S.41.01.11'!A1" display="S.41.01.11 - Lapses" xr:uid="{2EED2F41-EB21-4B28-81F0-4503B634375B}"/>
  </hyperlinks>
  <pageMargins left="0.7" right="0.7" top="0.75" bottom="0.75" header="0.3" footer="0.3"/>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68C14-ACD7-45C3-AE55-CB4E574EB1B8}">
  <sheetPr codeName="Blad150"/>
  <dimension ref="B2:T200"/>
  <sheetViews>
    <sheetView showGridLines="0" workbookViewId="0"/>
  </sheetViews>
  <sheetFormatPr defaultRowHeight="15"/>
  <cols>
    <col min="2" max="2" width="64.42578125" bestFit="1" customWidth="1"/>
    <col min="4" max="4" width="40.7109375" customWidth="1"/>
    <col min="5" max="11" width="15.7109375" customWidth="1"/>
  </cols>
  <sheetData>
    <row r="2" spans="2:20" ht="23.25">
      <c r="B2" s="86" t="s">
        <v>726</v>
      </c>
      <c r="C2" s="87"/>
      <c r="D2" s="87"/>
      <c r="E2" s="87"/>
      <c r="F2" s="87"/>
      <c r="G2" s="87"/>
      <c r="H2" s="87"/>
      <c r="I2" s="87"/>
      <c r="J2" s="87"/>
      <c r="K2" s="87"/>
      <c r="L2" s="87"/>
      <c r="M2" s="87"/>
      <c r="N2" s="87"/>
      <c r="O2" s="87"/>
    </row>
    <row r="5" spans="2:20" ht="18.75">
      <c r="B5" s="88" t="s">
        <v>4977</v>
      </c>
      <c r="C5" s="87"/>
      <c r="D5" s="87"/>
      <c r="E5" s="87"/>
      <c r="F5" s="87"/>
      <c r="G5" s="87"/>
      <c r="H5" s="87"/>
      <c r="I5" s="87"/>
      <c r="J5" s="87"/>
      <c r="K5" s="87"/>
      <c r="L5" s="87"/>
    </row>
    <row r="7" spans="2:20">
      <c r="B7" t="s">
        <v>3110</v>
      </c>
      <c r="S7" s="13" t="str">
        <f>Show!$B$146&amp;"SR.26.04.01.01 Table label {"&amp;COLUMN($C$1)&amp;"}"</f>
        <v>!SR.26.04.01.01 Table label {3}</v>
      </c>
      <c r="T7" s="13" t="str">
        <f>Show!$B$146&amp;"SR.26.04.01.01 Table value {"&amp;COLUMN($D$1)&amp;"}"</f>
        <v>!SR.26.04.01.01 Table value {4}</v>
      </c>
    </row>
    <row r="8" spans="2:20">
      <c r="B8" t="s">
        <v>3111</v>
      </c>
    </row>
    <row r="9" spans="2:20">
      <c r="B9" s="40" t="s">
        <v>4622</v>
      </c>
      <c r="C9" s="53" t="s">
        <v>3113</v>
      </c>
      <c r="D9" s="51"/>
    </row>
    <row r="10" spans="2:20">
      <c r="B10" s="40" t="s">
        <v>3788</v>
      </c>
      <c r="C10" s="53" t="s">
        <v>3115</v>
      </c>
      <c r="D10" s="51"/>
    </row>
    <row r="11" spans="2:20">
      <c r="B11" s="40" t="s">
        <v>3114</v>
      </c>
      <c r="C11" s="53" t="s">
        <v>3323</v>
      </c>
      <c r="D11" s="50"/>
    </row>
    <row r="12" spans="2:20">
      <c r="S12" s="13" t="str">
        <f>Show!$B$146&amp;Show!$B$146&amp;"SR.26.04.01.01 Table label {"&amp;COLUMN($C$1)&amp;"}"</f>
        <v>!!SR.26.04.01.01 Table label {3}</v>
      </c>
      <c r="T12" s="13" t="str">
        <f>Show!$B$146&amp;Show!$B$146&amp;"SR.26.04.01.01 Table value {"&amp;COLUMN($D$1)&amp;"}"</f>
        <v>!!SR.26.04.01.01 Table value {4}</v>
      </c>
    </row>
    <row r="14" spans="2:20">
      <c r="D14" s="92" t="s">
        <v>2877</v>
      </c>
      <c r="E14" s="93"/>
      <c r="F14" s="93"/>
      <c r="G14" s="93"/>
      <c r="H14" s="93"/>
      <c r="I14" s="93"/>
      <c r="J14" s="94"/>
    </row>
    <row r="15" spans="2:20">
      <c r="D15" s="95"/>
      <c r="E15" s="96"/>
      <c r="F15" s="96"/>
      <c r="G15" s="96"/>
      <c r="H15" s="96"/>
      <c r="I15" s="96"/>
      <c r="J15" s="97"/>
    </row>
    <row r="16" spans="2:20">
      <c r="D16" s="98" t="s">
        <v>4763</v>
      </c>
      <c r="E16" s="99"/>
      <c r="F16" s="98" t="s">
        <v>4764</v>
      </c>
      <c r="G16" s="100"/>
      <c r="H16" s="100"/>
      <c r="I16" s="100"/>
      <c r="J16" s="99"/>
    </row>
    <row r="17" spans="2:20">
      <c r="D17" s="89" t="s">
        <v>3252</v>
      </c>
      <c r="E17" s="89" t="s">
        <v>2389</v>
      </c>
      <c r="F17" s="89" t="s">
        <v>3252</v>
      </c>
      <c r="G17" s="89" t="s">
        <v>4765</v>
      </c>
      <c r="H17" s="89" t="s">
        <v>4623</v>
      </c>
      <c r="I17" s="89" t="s">
        <v>4766</v>
      </c>
      <c r="J17" s="89" t="s">
        <v>4624</v>
      </c>
    </row>
    <row r="18" spans="2:20">
      <c r="D18" s="91"/>
      <c r="E18" s="91"/>
      <c r="F18" s="91"/>
      <c r="G18" s="91"/>
      <c r="H18" s="91"/>
      <c r="I18" s="91"/>
      <c r="J18" s="91"/>
    </row>
    <row r="19" spans="2:20">
      <c r="D19" s="45" t="s">
        <v>3219</v>
      </c>
      <c r="E19" s="45" t="s">
        <v>3225</v>
      </c>
      <c r="F19" s="45" t="s">
        <v>3223</v>
      </c>
      <c r="G19" s="45" t="s">
        <v>3229</v>
      </c>
      <c r="H19" s="45" t="s">
        <v>3231</v>
      </c>
      <c r="I19" s="45" t="s">
        <v>3233</v>
      </c>
      <c r="J19" s="45" t="s">
        <v>3234</v>
      </c>
      <c r="S19" s="13" t="str">
        <f>Show!$B$146&amp;"SR.26.04.01.01 Rows {"&amp;COLUMN($C$1)&amp;"}"&amp;"@ForceFilingCode:true"</f>
        <v>!SR.26.04.01.01 Rows {3}@ForceFilingCode:true</v>
      </c>
      <c r="T19" s="13" t="str">
        <f>Show!$B$146&amp;"SR.26.04.01.01 Columns {"&amp;COLUMN($D$1)&amp;"}"</f>
        <v>!SR.26.04.01.01 Columns {4}</v>
      </c>
    </row>
    <row r="20" spans="2:20">
      <c r="B20" s="43" t="s">
        <v>2880</v>
      </c>
      <c r="C20" s="44" t="s">
        <v>2878</v>
      </c>
      <c r="D20" s="56"/>
      <c r="E20" s="66"/>
      <c r="F20" s="66"/>
      <c r="G20" s="66"/>
      <c r="H20" s="66"/>
      <c r="I20" s="66"/>
      <c r="J20" s="57"/>
    </row>
    <row r="21" spans="2:20">
      <c r="B21" s="47" t="s">
        <v>4910</v>
      </c>
      <c r="C21" s="41" t="s">
        <v>2899</v>
      </c>
      <c r="D21" s="60"/>
      <c r="E21" s="60"/>
      <c r="F21" s="60"/>
      <c r="G21" s="60"/>
      <c r="H21" s="60"/>
      <c r="I21" s="60"/>
      <c r="J21" s="60"/>
    </row>
    <row r="22" spans="2:20">
      <c r="B22" s="47" t="s">
        <v>4911</v>
      </c>
      <c r="C22" s="41" t="s">
        <v>2919</v>
      </c>
      <c r="D22" s="63"/>
      <c r="E22" s="63"/>
      <c r="F22" s="63"/>
      <c r="G22" s="63"/>
      <c r="H22" s="60"/>
      <c r="I22" s="63"/>
      <c r="J22" s="60"/>
    </row>
    <row r="23" spans="2:20">
      <c r="B23" s="47" t="s">
        <v>4912</v>
      </c>
      <c r="C23" s="44" t="s">
        <v>2939</v>
      </c>
      <c r="D23" s="58"/>
      <c r="E23" s="58"/>
      <c r="F23" s="58"/>
      <c r="G23" s="48"/>
      <c r="H23" s="64"/>
      <c r="I23" s="48"/>
      <c r="J23" s="60"/>
    </row>
    <row r="24" spans="2:20">
      <c r="B24" s="49" t="s">
        <v>4913</v>
      </c>
      <c r="C24" s="44" t="s">
        <v>2941</v>
      </c>
      <c r="D24" s="56"/>
      <c r="E24" s="56"/>
      <c r="F24" s="56"/>
      <c r="G24" s="46"/>
      <c r="H24" s="64"/>
      <c r="I24" s="46"/>
      <c r="J24" s="60"/>
    </row>
    <row r="25" spans="2:20">
      <c r="B25" s="61" t="s">
        <v>4914</v>
      </c>
      <c r="C25" s="41" t="s">
        <v>2943</v>
      </c>
      <c r="D25" s="60"/>
      <c r="E25" s="60"/>
      <c r="F25" s="60"/>
      <c r="G25" s="60"/>
      <c r="H25" s="60"/>
      <c r="I25" s="60"/>
      <c r="J25" s="60"/>
    </row>
    <row r="26" spans="2:20">
      <c r="B26" s="61" t="s">
        <v>4915</v>
      </c>
      <c r="C26" s="41" t="s">
        <v>2945</v>
      </c>
      <c r="D26" s="60"/>
      <c r="E26" s="60"/>
      <c r="F26" s="60"/>
      <c r="G26" s="60"/>
      <c r="H26" s="60"/>
      <c r="I26" s="60"/>
      <c r="J26" s="60"/>
    </row>
    <row r="27" spans="2:20">
      <c r="B27" s="49" t="s">
        <v>4916</v>
      </c>
      <c r="C27" s="41" t="s">
        <v>2947</v>
      </c>
      <c r="D27" s="63"/>
      <c r="E27" s="63"/>
      <c r="F27" s="63"/>
      <c r="G27" s="63"/>
      <c r="H27" s="60"/>
      <c r="I27" s="63"/>
      <c r="J27" s="60"/>
    </row>
    <row r="28" spans="2:20">
      <c r="B28" s="47" t="s">
        <v>4917</v>
      </c>
      <c r="C28" s="44" t="s">
        <v>2959</v>
      </c>
      <c r="D28" s="56"/>
      <c r="E28" s="56"/>
      <c r="F28" s="56"/>
      <c r="G28" s="46"/>
      <c r="H28" s="64"/>
      <c r="I28" s="46"/>
      <c r="J28" s="60"/>
    </row>
    <row r="29" spans="2:20">
      <c r="B29" s="49" t="s">
        <v>4883</v>
      </c>
      <c r="C29" s="41" t="s">
        <v>2961</v>
      </c>
      <c r="D29" s="60"/>
      <c r="E29" s="60"/>
      <c r="F29" s="60"/>
      <c r="G29" s="60"/>
      <c r="H29" s="60"/>
      <c r="I29" s="60"/>
      <c r="J29" s="60"/>
    </row>
    <row r="30" spans="2:20">
      <c r="B30" s="49" t="s">
        <v>4884</v>
      </c>
      <c r="C30" s="41" t="s">
        <v>2963</v>
      </c>
      <c r="D30" s="60"/>
      <c r="E30" s="60"/>
      <c r="F30" s="60"/>
      <c r="G30" s="60"/>
      <c r="H30" s="60"/>
      <c r="I30" s="60"/>
      <c r="J30" s="60"/>
    </row>
    <row r="31" spans="2:20">
      <c r="B31" s="49" t="s">
        <v>4885</v>
      </c>
      <c r="C31" s="41" t="s">
        <v>2965</v>
      </c>
      <c r="D31" s="60"/>
      <c r="E31" s="60"/>
      <c r="F31" s="60"/>
      <c r="G31" s="60"/>
      <c r="H31" s="60"/>
      <c r="I31" s="60"/>
      <c r="J31" s="60"/>
    </row>
    <row r="32" spans="2:20">
      <c r="B32" s="47" t="s">
        <v>4918</v>
      </c>
      <c r="C32" s="41" t="s">
        <v>2977</v>
      </c>
      <c r="D32" s="60"/>
      <c r="E32" s="60"/>
      <c r="F32" s="60"/>
      <c r="G32" s="60"/>
      <c r="H32" s="60"/>
      <c r="I32" s="60"/>
      <c r="J32" s="60"/>
    </row>
    <row r="33" spans="2:20">
      <c r="B33" s="47" t="s">
        <v>4919</v>
      </c>
      <c r="C33" s="41" t="s">
        <v>2997</v>
      </c>
      <c r="D33" s="63"/>
      <c r="E33" s="63"/>
      <c r="F33" s="63"/>
      <c r="G33" s="63"/>
      <c r="H33" s="60"/>
      <c r="I33" s="63"/>
      <c r="J33" s="60"/>
    </row>
    <row r="34" spans="2:20">
      <c r="B34" s="47" t="s">
        <v>4920</v>
      </c>
      <c r="C34" s="44" t="s">
        <v>3064</v>
      </c>
      <c r="D34" s="58"/>
      <c r="E34" s="58"/>
      <c r="F34" s="58"/>
      <c r="G34" s="48"/>
      <c r="H34" s="64"/>
      <c r="I34" s="48"/>
      <c r="J34" s="60"/>
    </row>
    <row r="35" spans="2:20">
      <c r="B35" s="47" t="s">
        <v>4921</v>
      </c>
      <c r="C35" s="44" t="s">
        <v>3120</v>
      </c>
      <c r="D35" s="56"/>
      <c r="E35" s="56"/>
      <c r="F35" s="56"/>
      <c r="G35" s="46"/>
      <c r="H35" s="64"/>
      <c r="I35" s="46"/>
      <c r="J35" s="60"/>
    </row>
    <row r="37" spans="2:20">
      <c r="S37" s="13" t="str">
        <f>Show!$B$146&amp;Show!$B$146&amp;"SR.26.04.01.01 Rows {"&amp;COLUMN($C$1)&amp;"}"</f>
        <v>!!SR.26.04.01.01 Rows {3}</v>
      </c>
      <c r="T37" s="13" t="str">
        <f>Show!$B$146&amp;Show!$B$146&amp;"SR.26.04.01.01 Columns {"&amp;COLUMN($J$1)&amp;"}"</f>
        <v>!!SR.26.04.01.01 Columns {10}</v>
      </c>
    </row>
    <row r="39" spans="2:20" ht="18.75">
      <c r="B39" s="88" t="s">
        <v>4978</v>
      </c>
      <c r="C39" s="87"/>
      <c r="D39" s="87"/>
      <c r="E39" s="87"/>
      <c r="F39" s="87"/>
      <c r="G39" s="87"/>
      <c r="H39" s="87"/>
      <c r="I39" s="87"/>
      <c r="J39" s="87"/>
      <c r="K39" s="87"/>
      <c r="L39" s="87"/>
    </row>
    <row r="41" spans="2:20">
      <c r="B41" t="s">
        <v>3110</v>
      </c>
      <c r="S41" s="13" t="str">
        <f>Show!$B$146&amp;"SR.26.04.01.02 Table label {"&amp;COLUMN($C$1)&amp;"}"</f>
        <v>!SR.26.04.01.02 Table label {3}</v>
      </c>
      <c r="T41" s="13" t="str">
        <f>Show!$B$146&amp;"SR.26.04.01.02 Table value {"&amp;COLUMN($D$1)&amp;"}"</f>
        <v>!SR.26.04.01.02 Table value {4}</v>
      </c>
    </row>
    <row r="42" spans="2:20">
      <c r="B42" t="s">
        <v>3111</v>
      </c>
    </row>
    <row r="43" spans="2:20">
      <c r="B43" s="40" t="s">
        <v>4622</v>
      </c>
      <c r="C43" s="53" t="s">
        <v>3113</v>
      </c>
      <c r="D43" s="51"/>
    </row>
    <row r="44" spans="2:20">
      <c r="B44" s="40" t="s">
        <v>3788</v>
      </c>
      <c r="C44" s="53" t="s">
        <v>3115</v>
      </c>
      <c r="D44" s="51"/>
    </row>
    <row r="45" spans="2:20">
      <c r="B45" s="40" t="s">
        <v>3114</v>
      </c>
      <c r="C45" s="53" t="s">
        <v>3323</v>
      </c>
      <c r="D45" s="50"/>
    </row>
    <row r="46" spans="2:20">
      <c r="S46" s="13" t="str">
        <f>Show!$B$146&amp;Show!$B$146&amp;"SR.26.04.01.02 Table label {"&amp;COLUMN($C$1)&amp;"}"</f>
        <v>!!SR.26.04.01.02 Table label {3}</v>
      </c>
      <c r="T46" s="13" t="str">
        <f>Show!$B$146&amp;Show!$B$146&amp;"SR.26.04.01.02 Table value {"&amp;COLUMN($D$1)&amp;"}"</f>
        <v>!!SR.26.04.01.02 Table value {4}</v>
      </c>
    </row>
    <row r="48" spans="2:20">
      <c r="D48" s="89" t="s">
        <v>2877</v>
      </c>
    </row>
    <row r="49" spans="2:20">
      <c r="D49" s="91"/>
    </row>
    <row r="50" spans="2:20">
      <c r="D50" s="55" t="s">
        <v>4687</v>
      </c>
    </row>
    <row r="51" spans="2:20">
      <c r="D51" s="45" t="s">
        <v>3236</v>
      </c>
      <c r="S51" s="13" t="str">
        <f>Show!$B$146&amp;"SR.26.04.01.02 Rows {"&amp;COLUMN($C$1)&amp;"}"&amp;"@ForceFilingCode:true"</f>
        <v>!SR.26.04.01.02 Rows {3}@ForceFilingCode:true</v>
      </c>
      <c r="T51" s="13" t="str">
        <f>Show!$B$146&amp;"SR.26.04.01.02 Columns {"&amp;COLUMN($D$1)&amp;"}"</f>
        <v>!SR.26.04.01.02 Columns {4}</v>
      </c>
    </row>
    <row r="52" spans="2:20">
      <c r="B52" s="43" t="s">
        <v>2880</v>
      </c>
      <c r="C52" s="44" t="s">
        <v>2878</v>
      </c>
      <c r="D52" s="46"/>
    </row>
    <row r="53" spans="2:20">
      <c r="B53" s="47" t="s">
        <v>4892</v>
      </c>
      <c r="C53" s="41" t="s">
        <v>3140</v>
      </c>
      <c r="D53" s="70"/>
    </row>
    <row r="55" spans="2:20">
      <c r="S55" s="13" t="str">
        <f>Show!$B$146&amp;Show!$B$146&amp;"SR.26.04.01.02 Rows {"&amp;COLUMN($C$1)&amp;"}"</f>
        <v>!!SR.26.04.01.02 Rows {3}</v>
      </c>
      <c r="T55" s="13" t="str">
        <f>Show!$B$146&amp;Show!$B$146&amp;"SR.26.04.01.02 Columns {"&amp;COLUMN($D$1)&amp;"}"</f>
        <v>!!SR.26.04.01.02 Columns {4}</v>
      </c>
    </row>
    <row r="57" spans="2:20" ht="18.75">
      <c r="B57" s="88" t="s">
        <v>4979</v>
      </c>
      <c r="C57" s="87"/>
      <c r="D57" s="87"/>
      <c r="E57" s="87"/>
      <c r="F57" s="87"/>
      <c r="G57" s="87"/>
      <c r="H57" s="87"/>
      <c r="I57" s="87"/>
      <c r="J57" s="87"/>
      <c r="K57" s="87"/>
      <c r="L57" s="87"/>
    </row>
    <row r="59" spans="2:20">
      <c r="B59" t="s">
        <v>3110</v>
      </c>
      <c r="S59" s="13" t="str">
        <f>Show!$B$146&amp;"SR.26.04.01.03 Table label {"&amp;COLUMN($C$1)&amp;"}"</f>
        <v>!SR.26.04.01.03 Table label {3}</v>
      </c>
      <c r="T59" s="13" t="str">
        <f>Show!$B$146&amp;"SR.26.04.01.03 Table value {"&amp;COLUMN($D$1)&amp;"}"</f>
        <v>!SR.26.04.01.03 Table value {4}</v>
      </c>
    </row>
    <row r="60" spans="2:20">
      <c r="B60" t="s">
        <v>3111</v>
      </c>
    </row>
    <row r="61" spans="2:20">
      <c r="B61" s="40" t="s">
        <v>4622</v>
      </c>
      <c r="C61" s="53" t="s">
        <v>3113</v>
      </c>
      <c r="D61" s="51"/>
    </row>
    <row r="62" spans="2:20">
      <c r="B62" s="40" t="s">
        <v>3788</v>
      </c>
      <c r="C62" s="53" t="s">
        <v>3115</v>
      </c>
      <c r="D62" s="51"/>
    </row>
    <row r="63" spans="2:20">
      <c r="B63" s="40" t="s">
        <v>3114</v>
      </c>
      <c r="C63" s="53" t="s">
        <v>3323</v>
      </c>
      <c r="D63" s="50"/>
    </row>
    <row r="64" spans="2:20">
      <c r="S64" s="13" t="str">
        <f>Show!$B$146&amp;Show!$B$146&amp;"SR.26.04.01.03 Table label {"&amp;COLUMN($C$1)&amp;"}"</f>
        <v>!!SR.26.04.01.03 Table label {3}</v>
      </c>
      <c r="T64" s="13" t="str">
        <f>Show!$B$146&amp;Show!$B$146&amp;"SR.26.04.01.03 Table value {"&amp;COLUMN($D$1)&amp;"}"</f>
        <v>!!SR.26.04.01.03 Table value {4}</v>
      </c>
    </row>
    <row r="66" spans="2:20">
      <c r="D66" s="92" t="s">
        <v>2877</v>
      </c>
      <c r="E66" s="93"/>
      <c r="F66" s="93"/>
      <c r="G66" s="93"/>
      <c r="H66" s="93"/>
      <c r="I66" s="93"/>
      <c r="J66" s="93"/>
      <c r="K66" s="94"/>
    </row>
    <row r="67" spans="2:20">
      <c r="D67" s="95"/>
      <c r="E67" s="96"/>
      <c r="F67" s="96"/>
      <c r="G67" s="96"/>
      <c r="H67" s="96"/>
      <c r="I67" s="96"/>
      <c r="J67" s="96"/>
      <c r="K67" s="97"/>
    </row>
    <row r="68" spans="2:20" ht="45">
      <c r="D68" s="98" t="s">
        <v>4924</v>
      </c>
      <c r="E68" s="100"/>
      <c r="F68" s="99"/>
      <c r="G68" s="55" t="s">
        <v>4928</v>
      </c>
      <c r="H68" s="98" t="s">
        <v>4929</v>
      </c>
      <c r="I68" s="100"/>
      <c r="J68" s="100"/>
      <c r="K68" s="99"/>
    </row>
    <row r="69" spans="2:20" ht="60">
      <c r="D69" s="55" t="s">
        <v>4925</v>
      </c>
      <c r="E69" s="55" t="s">
        <v>4926</v>
      </c>
      <c r="F69" s="55" t="s">
        <v>4927</v>
      </c>
      <c r="G69" s="55" t="s">
        <v>4687</v>
      </c>
      <c r="H69" s="55" t="s">
        <v>4930</v>
      </c>
      <c r="I69" s="55" t="s">
        <v>4931</v>
      </c>
      <c r="J69" s="55" t="s">
        <v>4932</v>
      </c>
      <c r="K69" s="55" t="s">
        <v>4933</v>
      </c>
    </row>
    <row r="70" spans="2:20">
      <c r="D70" s="45" t="s">
        <v>3239</v>
      </c>
      <c r="E70" s="45" t="s">
        <v>3241</v>
      </c>
      <c r="F70" s="45" t="s">
        <v>3243</v>
      </c>
      <c r="G70" s="45" t="s">
        <v>3375</v>
      </c>
      <c r="H70" s="45" t="s">
        <v>3475</v>
      </c>
      <c r="I70" s="45" t="s">
        <v>3477</v>
      </c>
      <c r="J70" s="45" t="s">
        <v>3479</v>
      </c>
      <c r="K70" s="45" t="s">
        <v>3594</v>
      </c>
      <c r="S70" s="13" t="str">
        <f>Show!$B$146&amp;"SR.26.04.01.03 Rows {"&amp;COLUMN($C$1)&amp;"}"&amp;"@ForceFilingCode:true"</f>
        <v>!SR.26.04.01.03 Rows {3}@ForceFilingCode:true</v>
      </c>
      <c r="T70" s="13" t="str">
        <f>Show!$B$146&amp;"SR.26.04.01.03 Columns {"&amp;COLUMN($D$1)&amp;"}"</f>
        <v>!SR.26.04.01.03 Columns {4}</v>
      </c>
    </row>
    <row r="71" spans="2:20">
      <c r="B71" s="43" t="s">
        <v>2880</v>
      </c>
      <c r="C71" s="44" t="s">
        <v>2878</v>
      </c>
      <c r="D71" s="56"/>
      <c r="E71" s="66"/>
      <c r="F71" s="66"/>
      <c r="G71" s="66"/>
      <c r="H71" s="66"/>
      <c r="I71" s="66"/>
      <c r="J71" s="66"/>
      <c r="K71" s="57"/>
    </row>
    <row r="72" spans="2:20">
      <c r="B72" s="47" t="s">
        <v>4934</v>
      </c>
      <c r="C72" s="41" t="s">
        <v>3315</v>
      </c>
      <c r="D72" s="70"/>
      <c r="E72" s="51"/>
      <c r="F72" s="70"/>
      <c r="G72" s="70"/>
      <c r="H72" s="60"/>
      <c r="I72" s="60"/>
      <c r="J72" s="70"/>
      <c r="K72" s="60"/>
    </row>
    <row r="73" spans="2:20">
      <c r="B73" s="47" t="s">
        <v>4935</v>
      </c>
      <c r="C73" s="41" t="s">
        <v>3496</v>
      </c>
      <c r="D73" s="70"/>
      <c r="E73" s="51"/>
      <c r="F73" s="70"/>
      <c r="G73" s="70"/>
      <c r="H73" s="60"/>
      <c r="I73" s="60"/>
      <c r="J73" s="70"/>
      <c r="K73" s="60"/>
    </row>
    <row r="74" spans="2:20">
      <c r="B74" s="47" t="s">
        <v>4936</v>
      </c>
      <c r="C74" s="41" t="s">
        <v>3497</v>
      </c>
      <c r="D74" s="70"/>
      <c r="E74" s="51"/>
      <c r="F74" s="70"/>
      <c r="G74" s="70"/>
      <c r="H74" s="60"/>
      <c r="I74" s="60"/>
      <c r="J74" s="70"/>
      <c r="K74" s="60"/>
    </row>
    <row r="75" spans="2:20">
      <c r="B75" s="47" t="s">
        <v>3902</v>
      </c>
      <c r="C75" s="41" t="s">
        <v>3498</v>
      </c>
      <c r="D75" s="76"/>
      <c r="E75" s="68"/>
      <c r="F75" s="76"/>
      <c r="G75" s="76"/>
      <c r="H75" s="63"/>
      <c r="I75" s="63"/>
      <c r="J75" s="76"/>
      <c r="K75" s="60"/>
    </row>
    <row r="76" spans="2:20">
      <c r="B76" s="47" t="s">
        <v>4937</v>
      </c>
      <c r="C76" s="44" t="s">
        <v>3499</v>
      </c>
      <c r="D76" s="56"/>
      <c r="E76" s="58"/>
      <c r="F76" s="58"/>
      <c r="G76" s="58"/>
      <c r="H76" s="58"/>
      <c r="I76" s="58"/>
      <c r="J76" s="48"/>
      <c r="K76" s="63"/>
    </row>
    <row r="77" spans="2:20">
      <c r="B77" s="47" t="s">
        <v>4938</v>
      </c>
      <c r="C77" s="41" t="s">
        <v>4939</v>
      </c>
      <c r="D77" s="71"/>
      <c r="E77" s="56"/>
      <c r="F77" s="56"/>
      <c r="G77" s="56"/>
      <c r="H77" s="56"/>
      <c r="I77" s="56"/>
      <c r="J77" s="56"/>
      <c r="K77" s="46"/>
    </row>
    <row r="79" spans="2:20">
      <c r="S79" s="13" t="str">
        <f>Show!$B$146&amp;Show!$B$146&amp;"SR.26.04.01.03 Rows {"&amp;COLUMN($C$1)&amp;"}"</f>
        <v>!!SR.26.04.01.03 Rows {3}</v>
      </c>
      <c r="T79" s="13" t="str">
        <f>Show!$B$146&amp;Show!$B$146&amp;"SR.26.04.01.03 Columns {"&amp;COLUMN($K$1)&amp;"}"</f>
        <v>!!SR.26.04.01.03 Columns {11}</v>
      </c>
    </row>
    <row r="81" spans="2:20" ht="18.75">
      <c r="B81" s="88" t="s">
        <v>4980</v>
      </c>
      <c r="C81" s="87"/>
      <c r="D81" s="87"/>
      <c r="E81" s="87"/>
      <c r="F81" s="87"/>
      <c r="G81" s="87"/>
      <c r="H81" s="87"/>
      <c r="I81" s="87"/>
      <c r="J81" s="87"/>
      <c r="K81" s="87"/>
      <c r="L81" s="87"/>
    </row>
    <row r="83" spans="2:20">
      <c r="B83" t="s">
        <v>3110</v>
      </c>
      <c r="S83" s="13" t="str">
        <f>Show!$B$146&amp;"SR.26.04.01.04 Table label {"&amp;COLUMN($C$1)&amp;"}"</f>
        <v>!SR.26.04.01.04 Table label {3}</v>
      </c>
      <c r="T83" s="13" t="str">
        <f>Show!$B$146&amp;"SR.26.04.01.04 Table value {"&amp;COLUMN($D$1)&amp;"}"</f>
        <v>!SR.26.04.01.04 Table value {4}</v>
      </c>
    </row>
    <row r="84" spans="2:20">
      <c r="B84" t="s">
        <v>3111</v>
      </c>
    </row>
    <row r="85" spans="2:20">
      <c r="B85" s="40" t="s">
        <v>4622</v>
      </c>
      <c r="C85" s="53" t="s">
        <v>3113</v>
      </c>
      <c r="D85" s="51"/>
    </row>
    <row r="86" spans="2:20">
      <c r="B86" s="40" t="s">
        <v>3788</v>
      </c>
      <c r="C86" s="53" t="s">
        <v>3115</v>
      </c>
      <c r="D86" s="51"/>
    </row>
    <row r="87" spans="2:20">
      <c r="B87" s="40" t="s">
        <v>3114</v>
      </c>
      <c r="C87" s="53" t="s">
        <v>3323</v>
      </c>
      <c r="D87" s="50"/>
    </row>
    <row r="88" spans="2:20">
      <c r="S88" s="13" t="str">
        <f>Show!$B$146&amp;Show!$B$146&amp;"SR.26.04.01.04 Table label {"&amp;COLUMN($C$1)&amp;"}"</f>
        <v>!!SR.26.04.01.04 Table label {3}</v>
      </c>
      <c r="T88" s="13" t="str">
        <f>Show!$B$146&amp;Show!$B$146&amp;"SR.26.04.01.04 Table value {"&amp;COLUMN($D$1)&amp;"}"</f>
        <v>!!SR.26.04.01.04 Table value {4}</v>
      </c>
    </row>
    <row r="90" spans="2:20">
      <c r="D90" s="89" t="s">
        <v>2877</v>
      </c>
    </row>
    <row r="91" spans="2:20">
      <c r="D91" s="91"/>
    </row>
    <row r="92" spans="2:20">
      <c r="D92" s="55" t="s">
        <v>4643</v>
      </c>
    </row>
    <row r="93" spans="2:20">
      <c r="D93" s="45" t="s">
        <v>3596</v>
      </c>
      <c r="S93" s="13" t="str">
        <f>Show!$B$146&amp;"SR.26.04.01.04 Rows {"&amp;COLUMN($C$1)&amp;"}"&amp;"@ForceFilingCode:true"</f>
        <v>!SR.26.04.01.04 Rows {3}@ForceFilingCode:true</v>
      </c>
      <c r="T93" s="13" t="str">
        <f>Show!$B$146&amp;"SR.26.04.01.04 Columns {"&amp;COLUMN($D$1)&amp;"}"</f>
        <v>!SR.26.04.01.04 Columns {4}</v>
      </c>
    </row>
    <row r="94" spans="2:20">
      <c r="B94" s="43" t="s">
        <v>2880</v>
      </c>
      <c r="C94" s="44" t="s">
        <v>2878</v>
      </c>
      <c r="D94" s="46"/>
    </row>
    <row r="95" spans="2:20">
      <c r="B95" s="47" t="s">
        <v>4981</v>
      </c>
      <c r="C95" s="41" t="s">
        <v>3500</v>
      </c>
      <c r="D95" s="60"/>
    </row>
    <row r="97" spans="2:20">
      <c r="S97" s="13" t="str">
        <f>Show!$B$146&amp;Show!$B$146&amp;"SR.26.04.01.04 Rows {"&amp;COLUMN($C$1)&amp;"}"</f>
        <v>!!SR.26.04.01.04 Rows {3}</v>
      </c>
      <c r="T97" s="13" t="str">
        <f>Show!$B$146&amp;Show!$B$146&amp;"SR.26.04.01.04 Columns {"&amp;COLUMN($D$1)&amp;"}"</f>
        <v>!!SR.26.04.01.04 Columns {4}</v>
      </c>
    </row>
    <row r="99" spans="2:20" ht="18.75">
      <c r="B99" s="88" t="s">
        <v>4982</v>
      </c>
      <c r="C99" s="87"/>
      <c r="D99" s="87"/>
      <c r="E99" s="87"/>
      <c r="F99" s="87"/>
      <c r="G99" s="87"/>
      <c r="H99" s="87"/>
      <c r="I99" s="87"/>
      <c r="J99" s="87"/>
      <c r="K99" s="87"/>
      <c r="L99" s="87"/>
    </row>
    <row r="101" spans="2:20">
      <c r="B101" t="s">
        <v>3110</v>
      </c>
      <c r="S101" s="13" t="str">
        <f>Show!$B$146&amp;"SR.26.04.01.05 Table label {"&amp;COLUMN($C$1)&amp;"}"</f>
        <v>!SR.26.04.01.05 Table label {3}</v>
      </c>
      <c r="T101" s="13" t="str">
        <f>Show!$B$146&amp;"SR.26.04.01.05 Table value {"&amp;COLUMN($D$1)&amp;"}"</f>
        <v>!SR.26.04.01.05 Table value {4}</v>
      </c>
    </row>
    <row r="102" spans="2:20">
      <c r="B102" t="s">
        <v>3111</v>
      </c>
    </row>
    <row r="103" spans="2:20">
      <c r="B103" s="40" t="s">
        <v>4622</v>
      </c>
      <c r="C103" s="53" t="s">
        <v>3113</v>
      </c>
      <c r="D103" s="51"/>
    </row>
    <row r="104" spans="2:20">
      <c r="B104" s="40" t="s">
        <v>3788</v>
      </c>
      <c r="C104" s="53" t="s">
        <v>3115</v>
      </c>
      <c r="D104" s="51"/>
    </row>
    <row r="105" spans="2:20">
      <c r="B105" s="40" t="s">
        <v>3114</v>
      </c>
      <c r="C105" s="53" t="s">
        <v>3323</v>
      </c>
      <c r="D105" s="50"/>
    </row>
    <row r="106" spans="2:20">
      <c r="S106" s="13" t="str">
        <f>Show!$B$146&amp;Show!$B$146&amp;"SR.26.04.01.05 Table label {"&amp;COLUMN($C$1)&amp;"}"</f>
        <v>!!SR.26.04.01.05 Table label {3}</v>
      </c>
      <c r="T106" s="13" t="str">
        <f>Show!$B$146&amp;Show!$B$146&amp;"SR.26.04.01.05 Table value {"&amp;COLUMN($D$1)&amp;"}"</f>
        <v>!!SR.26.04.01.05 Table value {4}</v>
      </c>
    </row>
    <row r="108" spans="2:20">
      <c r="D108" s="92" t="s">
        <v>2877</v>
      </c>
      <c r="E108" s="93"/>
      <c r="F108" s="93"/>
      <c r="G108" s="93"/>
      <c r="H108" s="94"/>
    </row>
    <row r="109" spans="2:20">
      <c r="D109" s="95"/>
      <c r="E109" s="96"/>
      <c r="F109" s="96"/>
      <c r="G109" s="96"/>
      <c r="H109" s="97"/>
    </row>
    <row r="110" spans="2:20">
      <c r="D110" s="98" t="s">
        <v>4763</v>
      </c>
      <c r="E110" s="99"/>
      <c r="F110" s="98" t="s">
        <v>4764</v>
      </c>
      <c r="G110" s="100"/>
      <c r="H110" s="99"/>
    </row>
    <row r="111" spans="2:20" ht="30">
      <c r="D111" s="55" t="s">
        <v>3252</v>
      </c>
      <c r="E111" s="55" t="s">
        <v>2389</v>
      </c>
      <c r="F111" s="55" t="s">
        <v>3252</v>
      </c>
      <c r="G111" s="55" t="s">
        <v>2389</v>
      </c>
      <c r="H111" s="55" t="s">
        <v>4643</v>
      </c>
    </row>
    <row r="112" spans="2:20">
      <c r="D112" s="45" t="s">
        <v>3599</v>
      </c>
      <c r="E112" s="45" t="s">
        <v>3481</v>
      </c>
      <c r="F112" s="45" t="s">
        <v>3508</v>
      </c>
      <c r="G112" s="45" t="s">
        <v>3509</v>
      </c>
      <c r="H112" s="45" t="s">
        <v>3511</v>
      </c>
      <c r="S112" s="13" t="str">
        <f>Show!$B$146&amp;"SR.26.04.01.05 Rows {"&amp;COLUMN($C$1)&amp;"}"&amp;"@ForceFilingCode:true"</f>
        <v>!SR.26.04.01.05 Rows {3}@ForceFilingCode:true</v>
      </c>
      <c r="T112" s="13" t="str">
        <f>Show!$B$146&amp;"SR.26.04.01.05 Columns {"&amp;COLUMN($D$1)&amp;"}"</f>
        <v>!SR.26.04.01.05 Columns {4}</v>
      </c>
    </row>
    <row r="113" spans="2:20">
      <c r="B113" s="43" t="s">
        <v>2880</v>
      </c>
      <c r="C113" s="44" t="s">
        <v>2878</v>
      </c>
      <c r="D113" s="56"/>
      <c r="E113" s="66"/>
      <c r="F113" s="66"/>
      <c r="G113" s="66"/>
      <c r="H113" s="57"/>
    </row>
    <row r="114" spans="2:20">
      <c r="B114" s="47" t="s">
        <v>4943</v>
      </c>
      <c r="C114" s="41" t="s">
        <v>3502</v>
      </c>
      <c r="D114" s="60"/>
      <c r="E114" s="60"/>
      <c r="F114" s="60"/>
      <c r="G114" s="60"/>
      <c r="H114" s="60"/>
    </row>
    <row r="116" spans="2:20">
      <c r="S116" s="13" t="str">
        <f>Show!$B$146&amp;Show!$B$146&amp;"SR.26.04.01.05 Rows {"&amp;COLUMN($C$1)&amp;"}"</f>
        <v>!!SR.26.04.01.05 Rows {3}</v>
      </c>
      <c r="T116" s="13" t="str">
        <f>Show!$B$146&amp;Show!$B$146&amp;"SR.26.04.01.05 Columns {"&amp;COLUMN($H$1)&amp;"}"</f>
        <v>!!SR.26.04.01.05 Columns {8}</v>
      </c>
    </row>
    <row r="118" spans="2:20" ht="18.75">
      <c r="B118" s="88" t="s">
        <v>4983</v>
      </c>
      <c r="C118" s="87"/>
      <c r="D118" s="87"/>
      <c r="E118" s="87"/>
      <c r="F118" s="87"/>
      <c r="G118" s="87"/>
      <c r="H118" s="87"/>
      <c r="I118" s="87"/>
      <c r="J118" s="87"/>
      <c r="K118" s="87"/>
      <c r="L118" s="87"/>
    </row>
    <row r="120" spans="2:20">
      <c r="B120" t="s">
        <v>3110</v>
      </c>
      <c r="S120" s="13" t="str">
        <f>Show!$B$146&amp;"SR.26.04.01.06 Table label {"&amp;COLUMN($C$1)&amp;"}"</f>
        <v>!SR.26.04.01.06 Table label {3}</v>
      </c>
      <c r="T120" s="13" t="str">
        <f>Show!$B$146&amp;"SR.26.04.01.06 Table value {"&amp;COLUMN($D$1)&amp;"}"</f>
        <v>!SR.26.04.01.06 Table value {4}</v>
      </c>
    </row>
    <row r="121" spans="2:20">
      <c r="B121" t="s">
        <v>3111</v>
      </c>
    </row>
    <row r="122" spans="2:20">
      <c r="B122" s="40" t="s">
        <v>4622</v>
      </c>
      <c r="C122" s="53" t="s">
        <v>3113</v>
      </c>
      <c r="D122" s="51"/>
    </row>
    <row r="123" spans="2:20">
      <c r="B123" s="40" t="s">
        <v>3788</v>
      </c>
      <c r="C123" s="53" t="s">
        <v>3115</v>
      </c>
      <c r="D123" s="51"/>
    </row>
    <row r="124" spans="2:20">
      <c r="B124" s="40" t="s">
        <v>3114</v>
      </c>
      <c r="C124" s="53" t="s">
        <v>3323</v>
      </c>
      <c r="D124" s="50"/>
    </row>
    <row r="125" spans="2:20">
      <c r="S125" s="13" t="str">
        <f>Show!$B$146&amp;Show!$B$146&amp;"SR.26.04.01.06 Table label {"&amp;COLUMN($C$1)&amp;"}"</f>
        <v>!!SR.26.04.01.06 Table label {3}</v>
      </c>
      <c r="T125" s="13" t="str">
        <f>Show!$B$146&amp;Show!$B$146&amp;"SR.26.04.01.06 Table value {"&amp;COLUMN($D$1)&amp;"}"</f>
        <v>!!SR.26.04.01.06 Table value {4}</v>
      </c>
    </row>
    <row r="127" spans="2:20">
      <c r="D127" s="89" t="s">
        <v>2877</v>
      </c>
    </row>
    <row r="128" spans="2:20">
      <c r="D128" s="91"/>
    </row>
    <row r="129" spans="2:20">
      <c r="D129" s="55" t="s">
        <v>4643</v>
      </c>
    </row>
    <row r="130" spans="2:20">
      <c r="D130" s="45" t="s">
        <v>3513</v>
      </c>
      <c r="S130" s="13" t="str">
        <f>Show!$B$146&amp;"SR.26.04.01.06 Rows {"&amp;COLUMN($C$1)&amp;"}"&amp;"@ForceFilingCode:true"</f>
        <v>!SR.26.04.01.06 Rows {3}@ForceFilingCode:true</v>
      </c>
      <c r="T130" s="13" t="str">
        <f>Show!$B$146&amp;"SR.26.04.01.06 Columns {"&amp;COLUMN($D$1)&amp;"}"</f>
        <v>!SR.26.04.01.06 Columns {4}</v>
      </c>
    </row>
    <row r="131" spans="2:20">
      <c r="B131" s="43" t="s">
        <v>2880</v>
      </c>
      <c r="C131" s="44" t="s">
        <v>2878</v>
      </c>
      <c r="D131" s="46"/>
    </row>
    <row r="132" spans="2:20">
      <c r="B132" s="47" t="s">
        <v>4945</v>
      </c>
      <c r="C132" s="41" t="s">
        <v>3504</v>
      </c>
      <c r="D132" s="60"/>
    </row>
    <row r="133" spans="2:20">
      <c r="B133" s="47" t="s">
        <v>4946</v>
      </c>
      <c r="C133" s="41" t="s">
        <v>4947</v>
      </c>
      <c r="D133" s="60"/>
    </row>
    <row r="135" spans="2:20">
      <c r="S135" s="13" t="str">
        <f>Show!$B$146&amp;Show!$B$146&amp;"SR.26.04.01.06 Rows {"&amp;COLUMN($C$1)&amp;"}"</f>
        <v>!!SR.26.04.01.06 Rows {3}</v>
      </c>
      <c r="T135" s="13" t="str">
        <f>Show!$B$146&amp;Show!$B$146&amp;"SR.26.04.01.06 Columns {"&amp;COLUMN($D$1)&amp;"}"</f>
        <v>!!SR.26.04.01.06 Columns {4}</v>
      </c>
    </row>
    <row r="137" spans="2:20" ht="18.75">
      <c r="B137" s="88" t="s">
        <v>4984</v>
      </c>
      <c r="C137" s="87"/>
      <c r="D137" s="87"/>
      <c r="E137" s="87"/>
      <c r="F137" s="87"/>
      <c r="G137" s="87"/>
      <c r="H137" s="87"/>
      <c r="I137" s="87"/>
      <c r="J137" s="87"/>
      <c r="K137" s="87"/>
      <c r="L137" s="87"/>
    </row>
    <row r="139" spans="2:20">
      <c r="B139" t="s">
        <v>3110</v>
      </c>
      <c r="S139" s="13" t="str">
        <f>Show!$B$146&amp;"SR.26.04.01.07 Table label {"&amp;COLUMN($C$1)&amp;"}"</f>
        <v>!SR.26.04.01.07 Table label {3}</v>
      </c>
      <c r="T139" s="13" t="str">
        <f>Show!$B$146&amp;"SR.26.04.01.07 Table value {"&amp;COLUMN($D$1)&amp;"}"</f>
        <v>!SR.26.04.01.07 Table value {4}</v>
      </c>
    </row>
    <row r="140" spans="2:20">
      <c r="B140" t="s">
        <v>3111</v>
      </c>
    </row>
    <row r="141" spans="2:20">
      <c r="B141" s="40" t="s">
        <v>4622</v>
      </c>
      <c r="C141" s="53" t="s">
        <v>3113</v>
      </c>
      <c r="D141" s="51"/>
    </row>
    <row r="142" spans="2:20">
      <c r="B142" s="40" t="s">
        <v>3788</v>
      </c>
      <c r="C142" s="53" t="s">
        <v>3115</v>
      </c>
      <c r="D142" s="51"/>
    </row>
    <row r="143" spans="2:20">
      <c r="B143" s="40" t="s">
        <v>3114</v>
      </c>
      <c r="C143" s="53" t="s">
        <v>3323</v>
      </c>
      <c r="D143" s="50"/>
    </row>
    <row r="144" spans="2:20">
      <c r="S144" s="13" t="str">
        <f>Show!$B$146&amp;Show!$B$146&amp;"SR.26.04.01.07 Table label {"&amp;COLUMN($C$1)&amp;"}"</f>
        <v>!!SR.26.04.01.07 Table label {3}</v>
      </c>
      <c r="T144" s="13" t="str">
        <f>Show!$B$146&amp;Show!$B$146&amp;"SR.26.04.01.07 Table value {"&amp;COLUMN($D$1)&amp;"}"</f>
        <v>!!SR.26.04.01.07 Table value {4}</v>
      </c>
    </row>
    <row r="146" spans="2:20">
      <c r="D146" s="92" t="s">
        <v>2877</v>
      </c>
      <c r="E146" s="94"/>
    </row>
    <row r="147" spans="2:20">
      <c r="D147" s="95"/>
      <c r="E147" s="97"/>
    </row>
    <row r="148" spans="2:20" ht="45">
      <c r="D148" s="55" t="s">
        <v>4623</v>
      </c>
      <c r="E148" s="55" t="s">
        <v>4624</v>
      </c>
    </row>
    <row r="149" spans="2:20">
      <c r="D149" s="45" t="s">
        <v>3514</v>
      </c>
      <c r="E149" s="45" t="s">
        <v>3515</v>
      </c>
      <c r="S149" s="13" t="str">
        <f>Show!$B$146&amp;"SR.26.04.01.07 Rows {"&amp;COLUMN($C$1)&amp;"}"&amp;"@ForceFilingCode:true"</f>
        <v>!SR.26.04.01.07 Rows {3}@ForceFilingCode:true</v>
      </c>
      <c r="T149" s="13" t="str">
        <f>Show!$B$146&amp;"SR.26.04.01.07 Columns {"&amp;COLUMN($D$1)&amp;"}"</f>
        <v>!SR.26.04.01.07 Columns {4}</v>
      </c>
    </row>
    <row r="150" spans="2:20">
      <c r="B150" s="43" t="s">
        <v>2880</v>
      </c>
      <c r="C150" s="44" t="s">
        <v>2878</v>
      </c>
      <c r="D150" s="56"/>
      <c r="E150" s="57"/>
    </row>
    <row r="151" spans="2:20">
      <c r="B151" s="47" t="s">
        <v>4949</v>
      </c>
      <c r="C151" s="41" t="s">
        <v>3523</v>
      </c>
      <c r="D151" s="60"/>
      <c r="E151" s="60"/>
    </row>
    <row r="152" spans="2:20">
      <c r="B152" s="47" t="s">
        <v>4950</v>
      </c>
      <c r="C152" s="41" t="s">
        <v>3524</v>
      </c>
      <c r="D152" s="60"/>
      <c r="E152" s="60"/>
    </row>
    <row r="153" spans="2:20">
      <c r="B153" s="47" t="s">
        <v>4951</v>
      </c>
      <c r="C153" s="41" t="s">
        <v>3525</v>
      </c>
      <c r="D153" s="60"/>
      <c r="E153" s="60"/>
    </row>
    <row r="154" spans="2:20">
      <c r="B154" s="47" t="s">
        <v>4952</v>
      </c>
      <c r="C154" s="41" t="s">
        <v>4953</v>
      </c>
      <c r="D154" s="60"/>
      <c r="E154" s="60"/>
    </row>
    <row r="155" spans="2:20">
      <c r="B155" s="47" t="s">
        <v>4954</v>
      </c>
      <c r="C155" s="41" t="s">
        <v>4955</v>
      </c>
      <c r="D155" s="60"/>
      <c r="E155" s="60"/>
    </row>
    <row r="157" spans="2:20">
      <c r="S157" s="13" t="str">
        <f>Show!$B$146&amp;Show!$B$146&amp;"SR.26.04.01.07 Rows {"&amp;COLUMN($C$1)&amp;"}"</f>
        <v>!!SR.26.04.01.07 Rows {3}</v>
      </c>
      <c r="T157" s="13" t="str">
        <f>Show!$B$146&amp;Show!$B$146&amp;"SR.26.04.01.07 Columns {"&amp;COLUMN($E$1)&amp;"}"</f>
        <v>!!SR.26.04.01.07 Columns {5}</v>
      </c>
    </row>
    <row r="159" spans="2:20" ht="18.75">
      <c r="B159" s="88" t="s">
        <v>4985</v>
      </c>
      <c r="C159" s="87"/>
      <c r="D159" s="87"/>
      <c r="E159" s="87"/>
      <c r="F159" s="87"/>
      <c r="G159" s="87"/>
      <c r="H159" s="87"/>
      <c r="I159" s="87"/>
      <c r="J159" s="87"/>
      <c r="K159" s="87"/>
      <c r="L159" s="87"/>
    </row>
    <row r="161" spans="2:20">
      <c r="B161" t="s">
        <v>3110</v>
      </c>
      <c r="S161" s="13" t="str">
        <f>Show!$B$146&amp;"SR.26.04.01.08 Table label {"&amp;COLUMN($C$1)&amp;"}"</f>
        <v>!SR.26.04.01.08 Table label {3}</v>
      </c>
      <c r="T161" s="13" t="str">
        <f>Show!$B$146&amp;"SR.26.04.01.08 Table value {"&amp;COLUMN($D$1)&amp;"}"</f>
        <v>!SR.26.04.01.08 Table value {4}</v>
      </c>
    </row>
    <row r="162" spans="2:20">
      <c r="B162" t="s">
        <v>3111</v>
      </c>
    </row>
    <row r="163" spans="2:20">
      <c r="B163" s="40" t="s">
        <v>4622</v>
      </c>
      <c r="C163" s="53" t="s">
        <v>3113</v>
      </c>
      <c r="D163" s="51"/>
    </row>
    <row r="164" spans="2:20">
      <c r="B164" s="40" t="s">
        <v>3788</v>
      </c>
      <c r="C164" s="53" t="s">
        <v>3115</v>
      </c>
      <c r="D164" s="51"/>
    </row>
    <row r="165" spans="2:20">
      <c r="B165" s="40" t="s">
        <v>3114</v>
      </c>
      <c r="C165" s="53" t="s">
        <v>3323</v>
      </c>
      <c r="D165" s="50"/>
    </row>
    <row r="166" spans="2:20">
      <c r="S166" s="13" t="str">
        <f>Show!$B$146&amp;Show!$B$146&amp;"SR.26.04.01.08 Table label {"&amp;COLUMN($C$1)&amp;"}"</f>
        <v>!!SR.26.04.01.08 Table label {3}</v>
      </c>
      <c r="T166" s="13" t="str">
        <f>Show!$B$146&amp;Show!$B$146&amp;"SR.26.04.01.08 Table value {"&amp;COLUMN($D$1)&amp;"}"</f>
        <v>!!SR.26.04.01.08 Table value {4}</v>
      </c>
    </row>
    <row r="168" spans="2:20">
      <c r="D168" s="92" t="s">
        <v>2877</v>
      </c>
      <c r="E168" s="94"/>
    </row>
    <row r="169" spans="2:20">
      <c r="D169" s="95"/>
      <c r="E169" s="97"/>
    </row>
    <row r="170" spans="2:20" ht="45">
      <c r="D170" s="55" t="s">
        <v>4623</v>
      </c>
      <c r="E170" s="55" t="s">
        <v>4624</v>
      </c>
    </row>
    <row r="171" spans="2:20">
      <c r="D171" s="45" t="s">
        <v>3517</v>
      </c>
      <c r="E171" s="45" t="s">
        <v>3518</v>
      </c>
      <c r="S171" s="13" t="str">
        <f>Show!$B$146&amp;"SR.26.04.01.08 Rows {"&amp;COLUMN($C$1)&amp;"}"&amp;"@ForceFilingCode:true"</f>
        <v>!SR.26.04.01.08 Rows {3}@ForceFilingCode:true</v>
      </c>
      <c r="T171" s="13" t="str">
        <f>Show!$B$146&amp;"SR.26.04.01.08 Columns {"&amp;COLUMN($D$1)&amp;"}"</f>
        <v>!SR.26.04.01.08 Columns {4}</v>
      </c>
    </row>
    <row r="172" spans="2:20">
      <c r="B172" s="43" t="s">
        <v>2880</v>
      </c>
      <c r="C172" s="44" t="s">
        <v>2878</v>
      </c>
      <c r="D172" s="56"/>
      <c r="E172" s="57"/>
    </row>
    <row r="173" spans="2:20">
      <c r="B173" s="47" t="s">
        <v>4957</v>
      </c>
      <c r="C173" s="41" t="s">
        <v>3526</v>
      </c>
      <c r="D173" s="60"/>
      <c r="E173" s="60"/>
    </row>
    <row r="174" spans="2:20">
      <c r="B174" s="47" t="s">
        <v>4958</v>
      </c>
      <c r="C174" s="41" t="s">
        <v>3529</v>
      </c>
      <c r="D174" s="60"/>
      <c r="E174" s="60"/>
    </row>
    <row r="176" spans="2:20">
      <c r="S176" s="13" t="str">
        <f>Show!$B$146&amp;Show!$B$146&amp;"SR.26.04.01.08 Rows {"&amp;COLUMN($C$1)&amp;"}"</f>
        <v>!!SR.26.04.01.08 Rows {3}</v>
      </c>
      <c r="T176" s="13" t="str">
        <f>Show!$B$146&amp;Show!$B$146&amp;"SR.26.04.01.08 Columns {"&amp;COLUMN($E$1)&amp;"}"</f>
        <v>!!SR.26.04.01.08 Columns {5}</v>
      </c>
    </row>
    <row r="178" spans="2:20" ht="18.75">
      <c r="B178" s="88" t="s">
        <v>4986</v>
      </c>
      <c r="C178" s="87"/>
      <c r="D178" s="87"/>
      <c r="E178" s="87"/>
      <c r="F178" s="87"/>
      <c r="G178" s="87"/>
      <c r="H178" s="87"/>
      <c r="I178" s="87"/>
      <c r="J178" s="87"/>
      <c r="K178" s="87"/>
      <c r="L178" s="87"/>
    </row>
    <row r="180" spans="2:20">
      <c r="B180" t="s">
        <v>3110</v>
      </c>
      <c r="S180" s="13" t="str">
        <f>Show!$B$146&amp;"SR.26.04.01.09 Table label {"&amp;COLUMN($C$1)&amp;"}"</f>
        <v>!SR.26.04.01.09 Table label {3}</v>
      </c>
      <c r="T180" s="13" t="str">
        <f>Show!$B$146&amp;"SR.26.04.01.09 Table value {"&amp;COLUMN($D$1)&amp;"}"</f>
        <v>!SR.26.04.01.09 Table value {4}</v>
      </c>
    </row>
    <row r="181" spans="2:20">
      <c r="B181" t="s">
        <v>3111</v>
      </c>
    </row>
    <row r="182" spans="2:20">
      <c r="B182" s="40" t="s">
        <v>4622</v>
      </c>
      <c r="C182" s="53" t="s">
        <v>3113</v>
      </c>
      <c r="D182" s="51"/>
    </row>
    <row r="183" spans="2:20">
      <c r="B183" s="40" t="s">
        <v>3788</v>
      </c>
      <c r="C183" s="53" t="s">
        <v>3115</v>
      </c>
      <c r="D183" s="51"/>
    </row>
    <row r="184" spans="2:20">
      <c r="B184" s="40" t="s">
        <v>3114</v>
      </c>
      <c r="C184" s="53" t="s">
        <v>3323</v>
      </c>
      <c r="D184" s="50"/>
    </row>
    <row r="185" spans="2:20">
      <c r="S185" s="13" t="str">
        <f>Show!$B$146&amp;Show!$B$146&amp;"SR.26.04.01.09 Table label {"&amp;COLUMN($C$1)&amp;"}"</f>
        <v>!!SR.26.04.01.09 Table label {3}</v>
      </c>
      <c r="T185" s="13" t="str">
        <f>Show!$B$146&amp;Show!$B$146&amp;"SR.26.04.01.09 Table value {"&amp;COLUMN($D$1)&amp;"}"</f>
        <v>!!SR.26.04.01.09 Table value {4}</v>
      </c>
    </row>
    <row r="187" spans="2:20">
      <c r="D187" s="89" t="s">
        <v>2877</v>
      </c>
    </row>
    <row r="188" spans="2:20">
      <c r="D188" s="91"/>
    </row>
    <row r="189" spans="2:20">
      <c r="D189" s="55" t="s">
        <v>2574</v>
      </c>
    </row>
    <row r="190" spans="2:20">
      <c r="D190" s="45" t="s">
        <v>2879</v>
      </c>
      <c r="S190" s="13" t="str">
        <f>Show!$B$146&amp;"SR.26.04.01.09 Rows {"&amp;COLUMN($C$1)&amp;"}"&amp;"@ForceFilingCode:true"</f>
        <v>!SR.26.04.01.09 Rows {3}@ForceFilingCode:true</v>
      </c>
      <c r="T190" s="13" t="str">
        <f>Show!$B$146&amp;"SR.26.04.01.09 Columns {"&amp;COLUMN($D$1)&amp;"}"</f>
        <v>!SR.26.04.01.09 Columns {4}</v>
      </c>
    </row>
    <row r="191" spans="2:20">
      <c r="B191" s="43" t="s">
        <v>2880</v>
      </c>
      <c r="C191" s="44" t="s">
        <v>2878</v>
      </c>
      <c r="D191" s="46"/>
    </row>
    <row r="192" spans="2:20">
      <c r="B192" s="47" t="s">
        <v>4960</v>
      </c>
      <c r="C192" s="41" t="s">
        <v>2883</v>
      </c>
      <c r="D192" s="51"/>
    </row>
    <row r="193" spans="2:20">
      <c r="B193" s="47" t="s">
        <v>4961</v>
      </c>
      <c r="C193" s="41" t="s">
        <v>2885</v>
      </c>
      <c r="D193" s="51"/>
    </row>
    <row r="194" spans="2:20">
      <c r="B194" s="47" t="s">
        <v>4962</v>
      </c>
      <c r="C194" s="41" t="s">
        <v>2887</v>
      </c>
      <c r="D194" s="51"/>
    </row>
    <row r="195" spans="2:20">
      <c r="B195" s="47" t="s">
        <v>4963</v>
      </c>
      <c r="C195" s="41" t="s">
        <v>2889</v>
      </c>
      <c r="D195" s="51"/>
    </row>
    <row r="196" spans="2:20">
      <c r="B196" s="47" t="s">
        <v>4964</v>
      </c>
      <c r="C196" s="41" t="s">
        <v>3078</v>
      </c>
      <c r="D196" s="51"/>
    </row>
    <row r="197" spans="2:20">
      <c r="B197" s="47" t="s">
        <v>4965</v>
      </c>
      <c r="C197" s="41" t="s">
        <v>4966</v>
      </c>
      <c r="D197" s="51"/>
    </row>
    <row r="198" spans="2:20">
      <c r="B198" s="47" t="s">
        <v>4967</v>
      </c>
      <c r="C198" s="41" t="s">
        <v>2891</v>
      </c>
      <c r="D198" s="51"/>
    </row>
    <row r="200" spans="2:20">
      <c r="S200" s="13" t="str">
        <f>Show!$B$146&amp;Show!$B$146&amp;"SR.26.04.01.09 Rows {"&amp;COLUMN($C$1)&amp;"}"</f>
        <v>!!SR.26.04.01.09 Rows {3}</v>
      </c>
      <c r="T200" s="13" t="str">
        <f>Show!$B$146&amp;Show!$B$146&amp;"SR.26.04.01.09 Columns {"&amp;COLUMN($D$1)&amp;"}"</f>
        <v>!!SR.26.04.01.09 Columns {4}</v>
      </c>
    </row>
  </sheetData>
  <sheetProtection sheet="1" objects="1" scenarios="1"/>
  <mergeCells count="32">
    <mergeCell ref="B2:O2"/>
    <mergeCell ref="B5:L5"/>
    <mergeCell ref="D14:J15"/>
    <mergeCell ref="D16:E16"/>
    <mergeCell ref="F16:J16"/>
    <mergeCell ref="J17:J18"/>
    <mergeCell ref="B39:L39"/>
    <mergeCell ref="D48:D49"/>
    <mergeCell ref="B57:L57"/>
    <mergeCell ref="B99:L99"/>
    <mergeCell ref="D68:F68"/>
    <mergeCell ref="H68:K68"/>
    <mergeCell ref="B81:L81"/>
    <mergeCell ref="D90:D91"/>
    <mergeCell ref="D66:K67"/>
    <mergeCell ref="D17:D18"/>
    <mergeCell ref="E17:E18"/>
    <mergeCell ref="F17:F18"/>
    <mergeCell ref="G17:G18"/>
    <mergeCell ref="H17:H18"/>
    <mergeCell ref="I17:I18"/>
    <mergeCell ref="D108:H109"/>
    <mergeCell ref="B159:L159"/>
    <mergeCell ref="D168:E169"/>
    <mergeCell ref="B178:L178"/>
    <mergeCell ref="D187:D188"/>
    <mergeCell ref="D110:E110"/>
    <mergeCell ref="F110:H110"/>
    <mergeCell ref="B118:L118"/>
    <mergeCell ref="D127:D128"/>
    <mergeCell ref="B137:L137"/>
    <mergeCell ref="D146:E147"/>
  </mergeCells>
  <dataValidations count="5">
    <dataValidation type="list" errorStyle="warning" allowBlank="1" showInputMessage="1" showErrorMessage="1" sqref="D9 D43 D61 D85 D103 D122 D141 D163 D182" xr:uid="{EF8A4AA1-7CFB-41A5-B54A-64B23F686741}">
      <formula1>hier_AO_1</formula1>
    </dataValidation>
    <dataValidation type="list" errorStyle="warning" allowBlank="1" showInputMessage="1" showErrorMessage="1" sqref="D10 D44 D62 D86 D104 D123 D142 D164 D183" xr:uid="{47536A07-2B04-4BF4-B31F-F9C1F07F2F0C}">
      <formula1>hier_PU_20</formula1>
    </dataValidation>
    <dataValidation type="list" errorStyle="warning" allowBlank="1" showInputMessage="1" showErrorMessage="1" sqref="E72 E73 E74 E75" xr:uid="{ED02BB99-0BF7-4A91-A8EF-632BF71F7A16}">
      <formula1>hier_AP_12</formula1>
    </dataValidation>
    <dataValidation type="list" errorStyle="warning" allowBlank="1" showInputMessage="1" showErrorMessage="1" sqref="D192 D193 D194 D195 D198" xr:uid="{58686445-F774-413C-9AF1-4826C051D8DB}">
      <formula1>hier_AP_17</formula1>
    </dataValidation>
    <dataValidation type="list" errorStyle="warning" allowBlank="1" showInputMessage="1" showErrorMessage="1" sqref="D197" xr:uid="{D40DC74B-CE1E-42A8-8A16-31DB6A275CB9}">
      <formula1>hier_AP_26</formula1>
    </dataValidation>
  </dataValidations>
  <pageMargins left="0.7" right="0.7" top="0.75" bottom="0.75" header="0.3" footer="0.3"/>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C62F3-1D34-44D1-94BB-32D4C8FF0E06}">
  <sheetPr codeName="Blad151"/>
  <dimension ref="B2:T101"/>
  <sheetViews>
    <sheetView showGridLines="0" workbookViewId="0"/>
  </sheetViews>
  <sheetFormatPr defaultRowHeight="15"/>
  <cols>
    <col min="2" max="2" width="55.42578125" bestFit="1" customWidth="1"/>
    <col min="4" max="4" width="40.7109375" customWidth="1"/>
    <col min="5" max="11" width="15.7109375" customWidth="1"/>
  </cols>
  <sheetData>
    <row r="2" spans="2:20" ht="23.25">
      <c r="B2" s="86" t="s">
        <v>730</v>
      </c>
      <c r="C2" s="87"/>
      <c r="D2" s="87"/>
      <c r="E2" s="87"/>
      <c r="F2" s="87"/>
      <c r="G2" s="87"/>
      <c r="H2" s="87"/>
      <c r="I2" s="87"/>
      <c r="J2" s="87"/>
      <c r="K2" s="87"/>
      <c r="L2" s="87"/>
      <c r="M2" s="87"/>
      <c r="N2" s="87"/>
      <c r="O2" s="87"/>
    </row>
    <row r="5" spans="2:20" ht="18.75">
      <c r="B5" s="88" t="s">
        <v>4987</v>
      </c>
      <c r="C5" s="87"/>
      <c r="D5" s="87"/>
      <c r="E5" s="87"/>
      <c r="F5" s="87"/>
      <c r="G5" s="87"/>
      <c r="H5" s="87"/>
      <c r="I5" s="87"/>
      <c r="J5" s="87"/>
      <c r="K5" s="87"/>
      <c r="L5" s="87"/>
    </row>
    <row r="7" spans="2:20">
      <c r="B7" t="s">
        <v>3110</v>
      </c>
      <c r="S7" s="13" t="str">
        <f>Show!$B$147&amp;"S.26.05.01.01 Table label {"&amp;COLUMN($C$1)&amp;"}"</f>
        <v>!S.26.05.01.01 Table label {3}</v>
      </c>
      <c r="T7" s="13" t="str">
        <f>Show!$B$147&amp;"S.26.05.01.01 Table value {"&amp;COLUMN($D$1)&amp;"}"</f>
        <v>!S.26.05.01.01 Table value {4}</v>
      </c>
    </row>
    <row r="8" spans="2:20">
      <c r="B8" t="s">
        <v>3111</v>
      </c>
    </row>
    <row r="9" spans="2:20">
      <c r="B9" s="40" t="s">
        <v>4622</v>
      </c>
      <c r="C9" s="53" t="s">
        <v>3113</v>
      </c>
      <c r="D9" s="51"/>
    </row>
    <row r="10" spans="2:20">
      <c r="S10" s="13" t="str">
        <f>Show!$B$147&amp;Show!$B$147&amp;"S.26.05.01.01 Table label {"&amp;COLUMN($C$1)&amp;"}"</f>
        <v>!!S.26.05.01.01 Table label {3}</v>
      </c>
      <c r="T10" s="13" t="str">
        <f>Show!$B$147&amp;Show!$B$147&amp;"S.26.05.01.01 Table value {"&amp;COLUMN($D$1)&amp;"}"</f>
        <v>!!S.26.05.01.01 Table value {4}</v>
      </c>
    </row>
    <row r="12" spans="2:20">
      <c r="D12" s="92" t="s">
        <v>2877</v>
      </c>
      <c r="E12" s="93"/>
      <c r="F12" s="93"/>
      <c r="G12" s="93"/>
      <c r="H12" s="93"/>
      <c r="I12" s="93"/>
      <c r="J12" s="93"/>
      <c r="K12" s="94"/>
    </row>
    <row r="13" spans="2:20">
      <c r="D13" s="95"/>
      <c r="E13" s="96"/>
      <c r="F13" s="96"/>
      <c r="G13" s="96"/>
      <c r="H13" s="96"/>
      <c r="I13" s="96"/>
      <c r="J13" s="96"/>
      <c r="K13" s="97"/>
    </row>
    <row r="14" spans="2:20" ht="45">
      <c r="D14" s="98" t="s">
        <v>4924</v>
      </c>
      <c r="E14" s="100"/>
      <c r="F14" s="99"/>
      <c r="G14" s="55" t="s">
        <v>4928</v>
      </c>
      <c r="H14" s="98" t="s">
        <v>4929</v>
      </c>
      <c r="I14" s="100"/>
      <c r="J14" s="100"/>
      <c r="K14" s="99"/>
    </row>
    <row r="15" spans="2:20" ht="60">
      <c r="D15" s="55" t="s">
        <v>4925</v>
      </c>
      <c r="E15" s="55" t="s">
        <v>4926</v>
      </c>
      <c r="F15" s="55" t="s">
        <v>4927</v>
      </c>
      <c r="G15" s="55" t="s">
        <v>4687</v>
      </c>
      <c r="H15" s="55" t="s">
        <v>4930</v>
      </c>
      <c r="I15" s="55" t="s">
        <v>4931</v>
      </c>
      <c r="J15" s="55" t="s">
        <v>4932</v>
      </c>
      <c r="K15" s="55" t="s">
        <v>4933</v>
      </c>
    </row>
    <row r="16" spans="2:20">
      <c r="D16" s="45" t="s">
        <v>3219</v>
      </c>
      <c r="E16" s="45" t="s">
        <v>3225</v>
      </c>
      <c r="F16" s="45" t="s">
        <v>3223</v>
      </c>
      <c r="G16" s="45" t="s">
        <v>3229</v>
      </c>
      <c r="H16" s="45" t="s">
        <v>3231</v>
      </c>
      <c r="I16" s="45" t="s">
        <v>3233</v>
      </c>
      <c r="J16" s="45" t="s">
        <v>3234</v>
      </c>
      <c r="K16" s="45" t="s">
        <v>3236</v>
      </c>
      <c r="S16" s="13" t="str">
        <f>Show!$B$147&amp;"S.26.05.01.01 Rows {"&amp;COLUMN($C$1)&amp;"}"&amp;"@ForceFilingCode:true"</f>
        <v>!S.26.05.01.01 Rows {3}@ForceFilingCode:true</v>
      </c>
      <c r="T16" s="13" t="str">
        <f>Show!$B$147&amp;"S.26.05.01.01 Columns {"&amp;COLUMN($D$1)&amp;"}"</f>
        <v>!S.26.05.01.01 Columns {4}</v>
      </c>
    </row>
    <row r="17" spans="2:11">
      <c r="B17" s="43" t="s">
        <v>2880</v>
      </c>
      <c r="C17" s="44" t="s">
        <v>2878</v>
      </c>
      <c r="D17" s="56"/>
      <c r="E17" s="66"/>
      <c r="F17" s="66"/>
      <c r="G17" s="66"/>
      <c r="H17" s="66"/>
      <c r="I17" s="66"/>
      <c r="J17" s="66"/>
      <c r="K17" s="57"/>
    </row>
    <row r="18" spans="2:11">
      <c r="B18" s="47" t="s">
        <v>4988</v>
      </c>
      <c r="C18" s="41" t="s">
        <v>2899</v>
      </c>
      <c r="D18" s="70"/>
      <c r="E18" s="51"/>
      <c r="F18" s="70"/>
      <c r="G18" s="70"/>
      <c r="H18" s="60"/>
      <c r="I18" s="60"/>
      <c r="J18" s="70"/>
      <c r="K18" s="60"/>
    </row>
    <row r="19" spans="2:11">
      <c r="B19" s="47" t="s">
        <v>4989</v>
      </c>
      <c r="C19" s="41" t="s">
        <v>2901</v>
      </c>
      <c r="D19" s="70"/>
      <c r="E19" s="51"/>
      <c r="F19" s="70"/>
      <c r="G19" s="70"/>
      <c r="H19" s="60"/>
      <c r="I19" s="60"/>
      <c r="J19" s="70"/>
      <c r="K19" s="60"/>
    </row>
    <row r="20" spans="2:11">
      <c r="B20" s="47" t="s">
        <v>4990</v>
      </c>
      <c r="C20" s="41" t="s">
        <v>2903</v>
      </c>
      <c r="D20" s="70"/>
      <c r="E20" s="51"/>
      <c r="F20" s="70"/>
      <c r="G20" s="70"/>
      <c r="H20" s="60"/>
      <c r="I20" s="60"/>
      <c r="J20" s="70"/>
      <c r="K20" s="60"/>
    </row>
    <row r="21" spans="2:11">
      <c r="B21" s="47" t="s">
        <v>4991</v>
      </c>
      <c r="C21" s="41" t="s">
        <v>2905</v>
      </c>
      <c r="D21" s="70"/>
      <c r="E21" s="51"/>
      <c r="F21" s="70"/>
      <c r="G21" s="70"/>
      <c r="H21" s="60"/>
      <c r="I21" s="60"/>
      <c r="J21" s="70"/>
      <c r="K21" s="60"/>
    </row>
    <row r="22" spans="2:11">
      <c r="B22" s="47" t="s">
        <v>4992</v>
      </c>
      <c r="C22" s="41" t="s">
        <v>2907</v>
      </c>
      <c r="D22" s="70"/>
      <c r="E22" s="51"/>
      <c r="F22" s="70"/>
      <c r="G22" s="70"/>
      <c r="H22" s="60"/>
      <c r="I22" s="60"/>
      <c r="J22" s="70"/>
      <c r="K22" s="60"/>
    </row>
    <row r="23" spans="2:11">
      <c r="B23" s="47" t="s">
        <v>4993</v>
      </c>
      <c r="C23" s="41" t="s">
        <v>2909</v>
      </c>
      <c r="D23" s="70"/>
      <c r="E23" s="51"/>
      <c r="F23" s="70"/>
      <c r="G23" s="70"/>
      <c r="H23" s="60"/>
      <c r="I23" s="60"/>
      <c r="J23" s="70"/>
      <c r="K23" s="60"/>
    </row>
    <row r="24" spans="2:11">
      <c r="B24" s="47" t="s">
        <v>4994</v>
      </c>
      <c r="C24" s="41" t="s">
        <v>2911</v>
      </c>
      <c r="D24" s="70"/>
      <c r="E24" s="51"/>
      <c r="F24" s="70"/>
      <c r="G24" s="70"/>
      <c r="H24" s="60"/>
      <c r="I24" s="60"/>
      <c r="J24" s="70"/>
      <c r="K24" s="60"/>
    </row>
    <row r="25" spans="2:11">
      <c r="B25" s="47" t="s">
        <v>3470</v>
      </c>
      <c r="C25" s="41" t="s">
        <v>2913</v>
      </c>
      <c r="D25" s="70"/>
      <c r="E25" s="51"/>
      <c r="F25" s="70"/>
      <c r="G25" s="70"/>
      <c r="H25" s="60"/>
      <c r="I25" s="60"/>
      <c r="J25" s="70"/>
      <c r="K25" s="60"/>
    </row>
    <row r="26" spans="2:11">
      <c r="B26" s="47" t="s">
        <v>4995</v>
      </c>
      <c r="C26" s="41" t="s">
        <v>2915</v>
      </c>
      <c r="D26" s="70"/>
      <c r="E26" s="51"/>
      <c r="F26" s="70"/>
      <c r="G26" s="70"/>
      <c r="H26" s="60"/>
      <c r="I26" s="60"/>
      <c r="J26" s="70"/>
      <c r="K26" s="60"/>
    </row>
    <row r="27" spans="2:11">
      <c r="B27" s="47" t="s">
        <v>4996</v>
      </c>
      <c r="C27" s="41" t="s">
        <v>2917</v>
      </c>
      <c r="D27" s="70"/>
      <c r="E27" s="51"/>
      <c r="F27" s="70"/>
      <c r="G27" s="70"/>
      <c r="H27" s="60"/>
      <c r="I27" s="60"/>
      <c r="J27" s="70"/>
      <c r="K27" s="60"/>
    </row>
    <row r="28" spans="2:11">
      <c r="B28" s="47" t="s">
        <v>4997</v>
      </c>
      <c r="C28" s="41" t="s">
        <v>2919</v>
      </c>
      <c r="D28" s="70"/>
      <c r="E28" s="51"/>
      <c r="F28" s="70"/>
      <c r="G28" s="70"/>
      <c r="H28" s="60"/>
      <c r="I28" s="60"/>
      <c r="J28" s="70"/>
      <c r="K28" s="60"/>
    </row>
    <row r="29" spans="2:11">
      <c r="B29" s="47" t="s">
        <v>4998</v>
      </c>
      <c r="C29" s="41" t="s">
        <v>2921</v>
      </c>
      <c r="D29" s="76"/>
      <c r="E29" s="68"/>
      <c r="F29" s="76"/>
      <c r="G29" s="76"/>
      <c r="H29" s="63"/>
      <c r="I29" s="63"/>
      <c r="J29" s="76"/>
      <c r="K29" s="60"/>
    </row>
    <row r="30" spans="2:11">
      <c r="B30" s="47" t="s">
        <v>4937</v>
      </c>
      <c r="C30" s="44" t="s">
        <v>2923</v>
      </c>
      <c r="D30" s="56"/>
      <c r="E30" s="58"/>
      <c r="F30" s="58"/>
      <c r="G30" s="58"/>
      <c r="H30" s="58"/>
      <c r="I30" s="58"/>
      <c r="J30" s="48"/>
      <c r="K30" s="63"/>
    </row>
    <row r="31" spans="2:11">
      <c r="B31" s="47" t="s">
        <v>4938</v>
      </c>
      <c r="C31" s="41" t="s">
        <v>2925</v>
      </c>
      <c r="D31" s="71"/>
      <c r="E31" s="56"/>
      <c r="F31" s="56"/>
      <c r="G31" s="56"/>
      <c r="H31" s="56"/>
      <c r="I31" s="56"/>
      <c r="J31" s="56"/>
      <c r="K31" s="46"/>
    </row>
    <row r="33" spans="2:20">
      <c r="S33" s="13" t="str">
        <f>Show!$B$147&amp;Show!$B$147&amp;"S.26.05.01.01 Rows {"&amp;COLUMN($C$1)&amp;"}"</f>
        <v>!!S.26.05.01.01 Rows {3}</v>
      </c>
      <c r="T33" s="13" t="str">
        <f>Show!$B$147&amp;Show!$B$147&amp;"S.26.05.01.01 Columns {"&amp;COLUMN($K$1)&amp;"}"</f>
        <v>!!S.26.05.01.01 Columns {11}</v>
      </c>
    </row>
    <row r="35" spans="2:20" ht="18.75">
      <c r="B35" s="88" t="s">
        <v>4999</v>
      </c>
      <c r="C35" s="87"/>
      <c r="D35" s="87"/>
      <c r="E35" s="87"/>
      <c r="F35" s="87"/>
      <c r="G35" s="87"/>
      <c r="H35" s="87"/>
      <c r="I35" s="87"/>
      <c r="J35" s="87"/>
      <c r="K35" s="87"/>
      <c r="L35" s="87"/>
    </row>
    <row r="37" spans="2:20">
      <c r="B37" t="s">
        <v>3110</v>
      </c>
      <c r="S37" s="13" t="str">
        <f>Show!$B$147&amp;"S.26.05.01.02 Table label {"&amp;COLUMN($C$1)&amp;"}"</f>
        <v>!S.26.05.01.02 Table label {3}</v>
      </c>
      <c r="T37" s="13" t="str">
        <f>Show!$B$147&amp;"S.26.05.01.02 Table value {"&amp;COLUMN($D$1)&amp;"}"</f>
        <v>!S.26.05.01.02 Table value {4}</v>
      </c>
    </row>
    <row r="38" spans="2:20">
      <c r="B38" t="s">
        <v>3111</v>
      </c>
    </row>
    <row r="39" spans="2:20">
      <c r="B39" s="40" t="s">
        <v>4622</v>
      </c>
      <c r="C39" s="53" t="s">
        <v>3113</v>
      </c>
      <c r="D39" s="51"/>
    </row>
    <row r="40" spans="2:20">
      <c r="S40" s="13" t="str">
        <f>Show!$B$147&amp;Show!$B$147&amp;"S.26.05.01.02 Table label {"&amp;COLUMN($C$1)&amp;"}"</f>
        <v>!!S.26.05.01.02 Table label {3}</v>
      </c>
      <c r="T40" s="13" t="str">
        <f>Show!$B$147&amp;Show!$B$147&amp;"S.26.05.01.02 Table value {"&amp;COLUMN($D$1)&amp;"}"</f>
        <v>!!S.26.05.01.02 Table value {4}</v>
      </c>
    </row>
    <row r="42" spans="2:20">
      <c r="D42" s="89" t="s">
        <v>2877</v>
      </c>
    </row>
    <row r="43" spans="2:20">
      <c r="D43" s="91"/>
    </row>
    <row r="44" spans="2:20">
      <c r="D44" s="55" t="s">
        <v>4643</v>
      </c>
    </row>
    <row r="45" spans="2:20">
      <c r="D45" s="45" t="s">
        <v>3239</v>
      </c>
      <c r="S45" s="13" t="str">
        <f>Show!$B$147&amp;"S.26.05.01.02 Rows {"&amp;COLUMN($C$1)&amp;"}"&amp;"@ForceFilingCode:true"</f>
        <v>!S.26.05.01.02 Rows {3}@ForceFilingCode:true</v>
      </c>
      <c r="T45" s="13" t="str">
        <f>Show!$B$147&amp;"S.26.05.01.02 Columns {"&amp;COLUMN($D$1)&amp;"}"</f>
        <v>!S.26.05.01.02 Columns {4}</v>
      </c>
    </row>
    <row r="46" spans="2:20">
      <c r="B46" s="43" t="s">
        <v>2880</v>
      </c>
      <c r="C46" s="44" t="s">
        <v>2878</v>
      </c>
      <c r="D46" s="46"/>
    </row>
    <row r="47" spans="2:20">
      <c r="B47" s="47" t="s">
        <v>5000</v>
      </c>
      <c r="C47" s="41" t="s">
        <v>2939</v>
      </c>
      <c r="D47" s="60"/>
    </row>
    <row r="49" spans="2:20">
      <c r="S49" s="13" t="str">
        <f>Show!$B$147&amp;Show!$B$147&amp;"S.26.05.01.02 Rows {"&amp;COLUMN($C$1)&amp;"}"</f>
        <v>!!S.26.05.01.02 Rows {3}</v>
      </c>
      <c r="T49" s="13" t="str">
        <f>Show!$B$147&amp;Show!$B$147&amp;"S.26.05.01.02 Columns {"&amp;COLUMN($D$1)&amp;"}"</f>
        <v>!!S.26.05.01.02 Columns {4}</v>
      </c>
    </row>
    <row r="51" spans="2:20" ht="18.75">
      <c r="B51" s="88" t="s">
        <v>5001</v>
      </c>
      <c r="C51" s="87"/>
      <c r="D51" s="87"/>
      <c r="E51" s="87"/>
      <c r="F51" s="87"/>
      <c r="G51" s="87"/>
      <c r="H51" s="87"/>
      <c r="I51" s="87"/>
      <c r="J51" s="87"/>
      <c r="K51" s="87"/>
      <c r="L51" s="87"/>
    </row>
    <row r="53" spans="2:20">
      <c r="B53" t="s">
        <v>3110</v>
      </c>
      <c r="S53" s="13" t="str">
        <f>Show!$B$147&amp;"S.26.05.01.03 Table label {"&amp;COLUMN($C$1)&amp;"}"</f>
        <v>!S.26.05.01.03 Table label {3}</v>
      </c>
      <c r="T53" s="13" t="str">
        <f>Show!$B$147&amp;"S.26.05.01.03 Table value {"&amp;COLUMN($D$1)&amp;"}"</f>
        <v>!S.26.05.01.03 Table value {4}</v>
      </c>
    </row>
    <row r="54" spans="2:20">
      <c r="B54" t="s">
        <v>3111</v>
      </c>
    </row>
    <row r="55" spans="2:20">
      <c r="B55" s="40" t="s">
        <v>4622</v>
      </c>
      <c r="C55" s="53" t="s">
        <v>3113</v>
      </c>
      <c r="D55" s="51"/>
    </row>
    <row r="56" spans="2:20">
      <c r="S56" s="13" t="str">
        <f>Show!$B$147&amp;Show!$B$147&amp;"S.26.05.01.03 Table label {"&amp;COLUMN($C$1)&amp;"}"</f>
        <v>!!S.26.05.01.03 Table label {3}</v>
      </c>
      <c r="T56" s="13" t="str">
        <f>Show!$B$147&amp;Show!$B$147&amp;"S.26.05.01.03 Table value {"&amp;COLUMN($D$1)&amp;"}"</f>
        <v>!!S.26.05.01.03 Table value {4}</v>
      </c>
    </row>
    <row r="58" spans="2:20">
      <c r="D58" s="92" t="s">
        <v>2877</v>
      </c>
      <c r="E58" s="93"/>
      <c r="F58" s="93"/>
      <c r="G58" s="93"/>
      <c r="H58" s="94"/>
    </row>
    <row r="59" spans="2:20">
      <c r="D59" s="95"/>
      <c r="E59" s="96"/>
      <c r="F59" s="96"/>
      <c r="G59" s="96"/>
      <c r="H59" s="97"/>
    </row>
    <row r="60" spans="2:20">
      <c r="D60" s="98" t="s">
        <v>4763</v>
      </c>
      <c r="E60" s="99"/>
      <c r="F60" s="98" t="s">
        <v>4764</v>
      </c>
      <c r="G60" s="100"/>
      <c r="H60" s="99"/>
    </row>
    <row r="61" spans="2:20" ht="30">
      <c r="D61" s="55" t="s">
        <v>3252</v>
      </c>
      <c r="E61" s="55" t="s">
        <v>2389</v>
      </c>
      <c r="F61" s="55" t="s">
        <v>3252</v>
      </c>
      <c r="G61" s="55" t="s">
        <v>2389</v>
      </c>
      <c r="H61" s="55" t="s">
        <v>4643</v>
      </c>
    </row>
    <row r="62" spans="2:20">
      <c r="D62" s="45" t="s">
        <v>3241</v>
      </c>
      <c r="E62" s="45" t="s">
        <v>3243</v>
      </c>
      <c r="F62" s="45" t="s">
        <v>3375</v>
      </c>
      <c r="G62" s="45" t="s">
        <v>3475</v>
      </c>
      <c r="H62" s="45" t="s">
        <v>3477</v>
      </c>
      <c r="S62" s="13" t="str">
        <f>Show!$B$147&amp;"S.26.05.01.03 Rows {"&amp;COLUMN($C$1)&amp;"}"&amp;"@ForceFilingCode:true"</f>
        <v>!S.26.05.01.03 Rows {3}@ForceFilingCode:true</v>
      </c>
      <c r="T62" s="13" t="str">
        <f>Show!$B$147&amp;"S.26.05.01.03 Columns {"&amp;COLUMN($D$1)&amp;"}"</f>
        <v>!S.26.05.01.03 Columns {4}</v>
      </c>
    </row>
    <row r="63" spans="2:20">
      <c r="B63" s="43" t="s">
        <v>2880</v>
      </c>
      <c r="C63" s="44" t="s">
        <v>2878</v>
      </c>
      <c r="D63" s="56"/>
      <c r="E63" s="66"/>
      <c r="F63" s="66"/>
      <c r="G63" s="66"/>
      <c r="H63" s="57"/>
    </row>
    <row r="64" spans="2:20">
      <c r="B64" s="47" t="s">
        <v>5002</v>
      </c>
      <c r="C64" s="41" t="s">
        <v>2959</v>
      </c>
      <c r="D64" s="60"/>
      <c r="E64" s="60"/>
      <c r="F64" s="60"/>
      <c r="G64" s="60"/>
      <c r="H64" s="60"/>
    </row>
    <row r="66" spans="2:20">
      <c r="S66" s="13" t="str">
        <f>Show!$B$147&amp;Show!$B$147&amp;"S.26.05.01.03 Rows {"&amp;COLUMN($C$1)&amp;"}"</f>
        <v>!!S.26.05.01.03 Rows {3}</v>
      </c>
      <c r="T66" s="13" t="str">
        <f>Show!$B$147&amp;Show!$B$147&amp;"S.26.05.01.03 Columns {"&amp;COLUMN($H$1)&amp;"}"</f>
        <v>!!S.26.05.01.03 Columns {8}</v>
      </c>
    </row>
    <row r="68" spans="2:20" ht="18.75">
      <c r="B68" s="88" t="s">
        <v>5003</v>
      </c>
      <c r="C68" s="87"/>
      <c r="D68" s="87"/>
      <c r="E68" s="87"/>
      <c r="F68" s="87"/>
      <c r="G68" s="87"/>
      <c r="H68" s="87"/>
      <c r="I68" s="87"/>
      <c r="J68" s="87"/>
      <c r="K68" s="87"/>
      <c r="L68" s="87"/>
    </row>
    <row r="70" spans="2:20">
      <c r="B70" t="s">
        <v>3110</v>
      </c>
      <c r="S70" s="13" t="str">
        <f>Show!$B$147&amp;"S.26.05.01.04 Table label {"&amp;COLUMN($C$1)&amp;"}"</f>
        <v>!S.26.05.01.04 Table label {3}</v>
      </c>
      <c r="T70" s="13" t="str">
        <f>Show!$B$147&amp;"S.26.05.01.04 Table value {"&amp;COLUMN($D$1)&amp;"}"</f>
        <v>!S.26.05.01.04 Table value {4}</v>
      </c>
    </row>
    <row r="71" spans="2:20">
      <c r="B71" t="s">
        <v>3111</v>
      </c>
    </row>
    <row r="72" spans="2:20">
      <c r="B72" s="40" t="s">
        <v>4622</v>
      </c>
      <c r="C72" s="53" t="s">
        <v>3113</v>
      </c>
      <c r="D72" s="51"/>
    </row>
    <row r="73" spans="2:20">
      <c r="S73" s="13" t="str">
        <f>Show!$B$147&amp;Show!$B$147&amp;"S.26.05.01.04 Table label {"&amp;COLUMN($C$1)&amp;"}"</f>
        <v>!!S.26.05.01.04 Table label {3}</v>
      </c>
      <c r="T73" s="13" t="str">
        <f>Show!$B$147&amp;Show!$B$147&amp;"S.26.05.01.04 Table value {"&amp;COLUMN($D$1)&amp;"}"</f>
        <v>!!S.26.05.01.04 Table value {4}</v>
      </c>
    </row>
    <row r="75" spans="2:20">
      <c r="D75" s="89" t="s">
        <v>2877</v>
      </c>
    </row>
    <row r="76" spans="2:20">
      <c r="D76" s="91"/>
    </row>
    <row r="77" spans="2:20">
      <c r="D77" s="55" t="s">
        <v>4643</v>
      </c>
    </row>
    <row r="78" spans="2:20">
      <c r="D78" s="45" t="s">
        <v>3479</v>
      </c>
      <c r="S78" s="13" t="str">
        <f>Show!$B$147&amp;"S.26.05.01.04 Rows {"&amp;COLUMN($C$1)&amp;"}"&amp;"@ForceFilingCode:true"</f>
        <v>!S.26.05.01.04 Rows {3}@ForceFilingCode:true</v>
      </c>
      <c r="T78" s="13" t="str">
        <f>Show!$B$147&amp;"S.26.05.01.04 Columns {"&amp;COLUMN($D$1)&amp;"}"</f>
        <v>!S.26.05.01.04 Columns {4}</v>
      </c>
    </row>
    <row r="79" spans="2:20">
      <c r="B79" s="43" t="s">
        <v>2880</v>
      </c>
      <c r="C79" s="44" t="s">
        <v>2878</v>
      </c>
      <c r="D79" s="46"/>
    </row>
    <row r="80" spans="2:20">
      <c r="B80" s="47" t="s">
        <v>5004</v>
      </c>
      <c r="C80" s="41" t="s">
        <v>2977</v>
      </c>
      <c r="D80" s="60"/>
    </row>
    <row r="81" spans="2:20">
      <c r="B81" s="47" t="s">
        <v>5005</v>
      </c>
      <c r="C81" s="41" t="s">
        <v>2997</v>
      </c>
      <c r="D81" s="60"/>
    </row>
    <row r="82" spans="2:20">
      <c r="B82" s="47" t="s">
        <v>5006</v>
      </c>
      <c r="C82" s="41" t="s">
        <v>3064</v>
      </c>
      <c r="D82" s="60"/>
    </row>
    <row r="84" spans="2:20">
      <c r="S84" s="13" t="str">
        <f>Show!$B$147&amp;Show!$B$147&amp;"S.26.05.01.04 Rows {"&amp;COLUMN($C$1)&amp;"}"</f>
        <v>!!S.26.05.01.04 Rows {3}</v>
      </c>
      <c r="T84" s="13" t="str">
        <f>Show!$B$147&amp;Show!$B$147&amp;"S.26.05.01.04 Columns {"&amp;COLUMN($D$1)&amp;"}"</f>
        <v>!!S.26.05.01.04 Columns {4}</v>
      </c>
    </row>
    <row r="86" spans="2:20" ht="18.75">
      <c r="B86" s="88" t="s">
        <v>5007</v>
      </c>
      <c r="C86" s="87"/>
      <c r="D86" s="87"/>
      <c r="E86" s="87"/>
      <c r="F86" s="87"/>
      <c r="G86" s="87"/>
      <c r="H86" s="87"/>
      <c r="I86" s="87"/>
      <c r="J86" s="87"/>
      <c r="K86" s="87"/>
      <c r="L86" s="87"/>
    </row>
    <row r="88" spans="2:20">
      <c r="B88" t="s">
        <v>3110</v>
      </c>
      <c r="S88" s="13" t="str">
        <f>Show!$B$147&amp;"S.26.05.01.05 Table label {"&amp;COLUMN($C$1)&amp;"}"</f>
        <v>!S.26.05.01.05 Table label {3}</v>
      </c>
      <c r="T88" s="13" t="str">
        <f>Show!$B$147&amp;"S.26.05.01.05 Table value {"&amp;COLUMN($D$1)&amp;"}"</f>
        <v>!S.26.05.01.05 Table value {4}</v>
      </c>
    </row>
    <row r="89" spans="2:20">
      <c r="B89" t="s">
        <v>3111</v>
      </c>
    </row>
    <row r="90" spans="2:20">
      <c r="B90" s="40" t="s">
        <v>4622</v>
      </c>
      <c r="C90" s="53" t="s">
        <v>3113</v>
      </c>
      <c r="D90" s="51"/>
    </row>
    <row r="91" spans="2:20">
      <c r="S91" s="13" t="str">
        <f>Show!$B$147&amp;Show!$B$147&amp;"S.26.05.01.05 Table label {"&amp;COLUMN($C$1)&amp;"}"</f>
        <v>!!S.26.05.01.05 Table label {3}</v>
      </c>
      <c r="T91" s="13" t="str">
        <f>Show!$B$147&amp;Show!$B$147&amp;"S.26.05.01.05 Table value {"&amp;COLUMN($D$1)&amp;"}"</f>
        <v>!!S.26.05.01.05 Table value {4}</v>
      </c>
    </row>
    <row r="93" spans="2:20">
      <c r="D93" s="89" t="s">
        <v>2877</v>
      </c>
    </row>
    <row r="94" spans="2:20">
      <c r="D94" s="91"/>
    </row>
    <row r="95" spans="2:20">
      <c r="D95" s="55" t="s">
        <v>2574</v>
      </c>
    </row>
    <row r="96" spans="2:20">
      <c r="D96" s="45" t="s">
        <v>2879</v>
      </c>
      <c r="S96" s="13" t="str">
        <f>Show!$B$147&amp;"S.26.05.01.05 Rows {"&amp;COLUMN($C$1)&amp;"}"&amp;"@ForceFilingCode:true"</f>
        <v>!S.26.05.01.05 Rows {3}@ForceFilingCode:true</v>
      </c>
      <c r="T96" s="13" t="str">
        <f>Show!$B$147&amp;"S.26.05.01.05 Columns {"&amp;COLUMN($D$1)&amp;"}"</f>
        <v>!S.26.05.01.05 Columns {4}</v>
      </c>
    </row>
    <row r="97" spans="2:20">
      <c r="B97" s="43" t="s">
        <v>2880</v>
      </c>
      <c r="C97" s="44" t="s">
        <v>2878</v>
      </c>
      <c r="D97" s="46"/>
    </row>
    <row r="98" spans="2:20">
      <c r="B98" s="47" t="s">
        <v>5008</v>
      </c>
      <c r="C98" s="41" t="s">
        <v>2883</v>
      </c>
      <c r="D98" s="51"/>
    </row>
    <row r="99" spans="2:20">
      <c r="B99" s="47" t="s">
        <v>5009</v>
      </c>
      <c r="C99" s="41" t="s">
        <v>5010</v>
      </c>
      <c r="D99" s="51"/>
    </row>
    <row r="101" spans="2:20">
      <c r="S101" s="13" t="str">
        <f>Show!$B$147&amp;Show!$B$147&amp;"S.26.05.01.05 Rows {"&amp;COLUMN($C$1)&amp;"}"</f>
        <v>!!S.26.05.01.05 Rows {3}</v>
      </c>
      <c r="T101" s="13" t="str">
        <f>Show!$B$147&amp;Show!$B$147&amp;"S.26.05.01.05 Columns {"&amp;COLUMN($D$1)&amp;"}"</f>
        <v>!!S.26.05.01.05 Columns {4}</v>
      </c>
    </row>
  </sheetData>
  <sheetProtection sheet="1" objects="1" scenarios="1"/>
  <mergeCells count="15">
    <mergeCell ref="B35:L35"/>
    <mergeCell ref="B2:O2"/>
    <mergeCell ref="B5:L5"/>
    <mergeCell ref="D12:K13"/>
    <mergeCell ref="D14:F14"/>
    <mergeCell ref="H14:K14"/>
    <mergeCell ref="D75:D76"/>
    <mergeCell ref="B86:L86"/>
    <mergeCell ref="D93:D94"/>
    <mergeCell ref="D42:D43"/>
    <mergeCell ref="B51:L51"/>
    <mergeCell ref="D58:H59"/>
    <mergeCell ref="D60:E60"/>
    <mergeCell ref="F60:H60"/>
    <mergeCell ref="B68:L68"/>
  </mergeCells>
  <dataValidations count="4">
    <dataValidation type="list" errorStyle="warning" allowBlank="1" showInputMessage="1" showErrorMessage="1" sqref="D9 D39 D55 D72 D90" xr:uid="{72F981F8-AAF1-461F-AA02-2507884D5C02}">
      <formula1>hier_AO_1</formula1>
    </dataValidation>
    <dataValidation type="list" errorStyle="warning" allowBlank="1" showInputMessage="1" showErrorMessage="1" sqref="E18 E19 E20 E21 E22 E23 E24 E25 E26 E27 E28 E29" xr:uid="{9FADE879-9754-41D8-8009-CBAC6EBC1214}">
      <formula1>hier_AP_12</formula1>
    </dataValidation>
    <dataValidation type="list" errorStyle="warning" allowBlank="1" showInputMessage="1" showErrorMessage="1" sqref="D98" xr:uid="{71DCCBBB-F950-48D7-85BD-A7E138FB3849}">
      <formula1>hier_AP_17</formula1>
    </dataValidation>
    <dataValidation type="list" errorStyle="warning" allowBlank="1" showInputMessage="1" showErrorMessage="1" sqref="D99" xr:uid="{8AF14E85-ABBC-4A2B-8F8C-F191722A0958}">
      <formula1>hier_AP_27</formula1>
    </dataValidation>
  </dataValidations>
  <pageMargins left="0.7" right="0.7" top="0.75" bottom="0.75" header="0.3" footer="0.3"/>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652E2-8C78-4423-9B63-66C82CCF7DF9}">
  <sheetPr codeName="Blad152"/>
  <dimension ref="B2:T101"/>
  <sheetViews>
    <sheetView showGridLines="0" workbookViewId="0"/>
  </sheetViews>
  <sheetFormatPr defaultRowHeight="15"/>
  <cols>
    <col min="2" max="2" width="55.42578125" bestFit="1" customWidth="1"/>
    <col min="4" max="4" width="40.7109375" customWidth="1"/>
    <col min="5" max="11" width="15.7109375" customWidth="1"/>
  </cols>
  <sheetData>
    <row r="2" spans="2:20" ht="23.25">
      <c r="B2" s="86" t="s">
        <v>730</v>
      </c>
      <c r="C2" s="87"/>
      <c r="D2" s="87"/>
      <c r="E2" s="87"/>
      <c r="F2" s="87"/>
      <c r="G2" s="87"/>
      <c r="H2" s="87"/>
      <c r="I2" s="87"/>
      <c r="J2" s="87"/>
      <c r="K2" s="87"/>
      <c r="L2" s="87"/>
      <c r="M2" s="87"/>
      <c r="N2" s="87"/>
      <c r="O2" s="87"/>
    </row>
    <row r="5" spans="2:20" ht="18.75">
      <c r="B5" s="88" t="s">
        <v>5011</v>
      </c>
      <c r="C5" s="87"/>
      <c r="D5" s="87"/>
      <c r="E5" s="87"/>
      <c r="F5" s="87"/>
      <c r="G5" s="87"/>
      <c r="H5" s="87"/>
      <c r="I5" s="87"/>
      <c r="J5" s="87"/>
      <c r="K5" s="87"/>
      <c r="L5" s="87"/>
    </row>
    <row r="7" spans="2:20">
      <c r="B7" t="s">
        <v>3110</v>
      </c>
      <c r="S7" s="13" t="str">
        <f>Show!$B$148&amp;"S.26.05.04.01 Table label {"&amp;COLUMN($C$1)&amp;"}"</f>
        <v>!S.26.05.04.01 Table label {3}</v>
      </c>
      <c r="T7" s="13" t="str">
        <f>Show!$B$148&amp;"S.26.05.04.01 Table value {"&amp;COLUMN($D$1)&amp;"}"</f>
        <v>!S.26.05.04.01 Table value {4}</v>
      </c>
    </row>
    <row r="8" spans="2:20">
      <c r="B8" t="s">
        <v>3111</v>
      </c>
    </row>
    <row r="9" spans="2:20">
      <c r="B9" s="40" t="s">
        <v>4622</v>
      </c>
      <c r="C9" s="53" t="s">
        <v>3113</v>
      </c>
      <c r="D9" s="51"/>
    </row>
    <row r="10" spans="2:20">
      <c r="S10" s="13" t="str">
        <f>Show!$B$148&amp;Show!$B$148&amp;"S.26.05.04.01 Table label {"&amp;COLUMN($C$1)&amp;"}"</f>
        <v>!!S.26.05.04.01 Table label {3}</v>
      </c>
      <c r="T10" s="13" t="str">
        <f>Show!$B$148&amp;Show!$B$148&amp;"S.26.05.04.01 Table value {"&amp;COLUMN($D$1)&amp;"}"</f>
        <v>!!S.26.05.04.01 Table value {4}</v>
      </c>
    </row>
    <row r="12" spans="2:20">
      <c r="D12" s="92" t="s">
        <v>2877</v>
      </c>
      <c r="E12" s="93"/>
      <c r="F12" s="93"/>
      <c r="G12" s="93"/>
      <c r="H12" s="93"/>
      <c r="I12" s="93"/>
      <c r="J12" s="93"/>
      <c r="K12" s="94"/>
    </row>
    <row r="13" spans="2:20">
      <c r="D13" s="95"/>
      <c r="E13" s="96"/>
      <c r="F13" s="96"/>
      <c r="G13" s="96"/>
      <c r="H13" s="96"/>
      <c r="I13" s="96"/>
      <c r="J13" s="96"/>
      <c r="K13" s="97"/>
    </row>
    <row r="14" spans="2:20" ht="45">
      <c r="D14" s="98" t="s">
        <v>4924</v>
      </c>
      <c r="E14" s="100"/>
      <c r="F14" s="99"/>
      <c r="G14" s="55" t="s">
        <v>4928</v>
      </c>
      <c r="H14" s="98" t="s">
        <v>4929</v>
      </c>
      <c r="I14" s="100"/>
      <c r="J14" s="100"/>
      <c r="K14" s="99"/>
    </row>
    <row r="15" spans="2:20" ht="60">
      <c r="D15" s="55" t="s">
        <v>4925</v>
      </c>
      <c r="E15" s="55" t="s">
        <v>4926</v>
      </c>
      <c r="F15" s="55" t="s">
        <v>4927</v>
      </c>
      <c r="G15" s="55" t="s">
        <v>4687</v>
      </c>
      <c r="H15" s="55" t="s">
        <v>4930</v>
      </c>
      <c r="I15" s="55" t="s">
        <v>4931</v>
      </c>
      <c r="J15" s="55" t="s">
        <v>4932</v>
      </c>
      <c r="K15" s="55" t="s">
        <v>4933</v>
      </c>
    </row>
    <row r="16" spans="2:20">
      <c r="D16" s="45" t="s">
        <v>3219</v>
      </c>
      <c r="E16" s="45" t="s">
        <v>3225</v>
      </c>
      <c r="F16" s="45" t="s">
        <v>3223</v>
      </c>
      <c r="G16" s="45" t="s">
        <v>3229</v>
      </c>
      <c r="H16" s="45" t="s">
        <v>3231</v>
      </c>
      <c r="I16" s="45" t="s">
        <v>3233</v>
      </c>
      <c r="J16" s="45" t="s">
        <v>3234</v>
      </c>
      <c r="K16" s="45" t="s">
        <v>3236</v>
      </c>
      <c r="S16" s="13" t="str">
        <f>Show!$B$148&amp;"S.26.05.04.01 Rows {"&amp;COLUMN($C$1)&amp;"}"&amp;"@ForceFilingCode:true"</f>
        <v>!S.26.05.04.01 Rows {3}@ForceFilingCode:true</v>
      </c>
      <c r="T16" s="13" t="str">
        <f>Show!$B$148&amp;"S.26.05.04.01 Columns {"&amp;COLUMN($D$1)&amp;"}"</f>
        <v>!S.26.05.04.01 Columns {4}</v>
      </c>
    </row>
    <row r="17" spans="2:11">
      <c r="B17" s="43" t="s">
        <v>2880</v>
      </c>
      <c r="C17" s="44" t="s">
        <v>2878</v>
      </c>
      <c r="D17" s="56"/>
      <c r="E17" s="66"/>
      <c r="F17" s="66"/>
      <c r="G17" s="66"/>
      <c r="H17" s="66"/>
      <c r="I17" s="66"/>
      <c r="J17" s="66"/>
      <c r="K17" s="57"/>
    </row>
    <row r="18" spans="2:11">
      <c r="B18" s="47" t="s">
        <v>4988</v>
      </c>
      <c r="C18" s="41" t="s">
        <v>2899</v>
      </c>
      <c r="D18" s="70"/>
      <c r="E18" s="51"/>
      <c r="F18" s="70"/>
      <c r="G18" s="70"/>
      <c r="H18" s="60"/>
      <c r="I18" s="60"/>
      <c r="J18" s="70"/>
      <c r="K18" s="60"/>
    </row>
    <row r="19" spans="2:11">
      <c r="B19" s="47" t="s">
        <v>4989</v>
      </c>
      <c r="C19" s="41" t="s">
        <v>2901</v>
      </c>
      <c r="D19" s="70"/>
      <c r="E19" s="51"/>
      <c r="F19" s="70"/>
      <c r="G19" s="70"/>
      <c r="H19" s="60"/>
      <c r="I19" s="60"/>
      <c r="J19" s="70"/>
      <c r="K19" s="60"/>
    </row>
    <row r="20" spans="2:11">
      <c r="B20" s="47" t="s">
        <v>4990</v>
      </c>
      <c r="C20" s="41" t="s">
        <v>2903</v>
      </c>
      <c r="D20" s="70"/>
      <c r="E20" s="51"/>
      <c r="F20" s="70"/>
      <c r="G20" s="70"/>
      <c r="H20" s="60"/>
      <c r="I20" s="60"/>
      <c r="J20" s="70"/>
      <c r="K20" s="60"/>
    </row>
    <row r="21" spans="2:11">
      <c r="B21" s="47" t="s">
        <v>4991</v>
      </c>
      <c r="C21" s="41" t="s">
        <v>2905</v>
      </c>
      <c r="D21" s="70"/>
      <c r="E21" s="51"/>
      <c r="F21" s="70"/>
      <c r="G21" s="70"/>
      <c r="H21" s="60"/>
      <c r="I21" s="60"/>
      <c r="J21" s="70"/>
      <c r="K21" s="60"/>
    </row>
    <row r="22" spans="2:11">
      <c r="B22" s="47" t="s">
        <v>4992</v>
      </c>
      <c r="C22" s="41" t="s">
        <v>2907</v>
      </c>
      <c r="D22" s="70"/>
      <c r="E22" s="51"/>
      <c r="F22" s="70"/>
      <c r="G22" s="70"/>
      <c r="H22" s="60"/>
      <c r="I22" s="60"/>
      <c r="J22" s="70"/>
      <c r="K22" s="60"/>
    </row>
    <row r="23" spans="2:11">
      <c r="B23" s="47" t="s">
        <v>4993</v>
      </c>
      <c r="C23" s="41" t="s">
        <v>2909</v>
      </c>
      <c r="D23" s="70"/>
      <c r="E23" s="51"/>
      <c r="F23" s="70"/>
      <c r="G23" s="70"/>
      <c r="H23" s="60"/>
      <c r="I23" s="60"/>
      <c r="J23" s="70"/>
      <c r="K23" s="60"/>
    </row>
    <row r="24" spans="2:11">
      <c r="B24" s="47" t="s">
        <v>4994</v>
      </c>
      <c r="C24" s="41" t="s">
        <v>2911</v>
      </c>
      <c r="D24" s="70"/>
      <c r="E24" s="51"/>
      <c r="F24" s="70"/>
      <c r="G24" s="70"/>
      <c r="H24" s="60"/>
      <c r="I24" s="60"/>
      <c r="J24" s="70"/>
      <c r="K24" s="60"/>
    </row>
    <row r="25" spans="2:11">
      <c r="B25" s="47" t="s">
        <v>3470</v>
      </c>
      <c r="C25" s="41" t="s">
        <v>2913</v>
      </c>
      <c r="D25" s="70"/>
      <c r="E25" s="51"/>
      <c r="F25" s="70"/>
      <c r="G25" s="70"/>
      <c r="H25" s="60"/>
      <c r="I25" s="60"/>
      <c r="J25" s="70"/>
      <c r="K25" s="60"/>
    </row>
    <row r="26" spans="2:11">
      <c r="B26" s="47" t="s">
        <v>4995</v>
      </c>
      <c r="C26" s="41" t="s">
        <v>2915</v>
      </c>
      <c r="D26" s="70"/>
      <c r="E26" s="51"/>
      <c r="F26" s="70"/>
      <c r="G26" s="70"/>
      <c r="H26" s="60"/>
      <c r="I26" s="60"/>
      <c r="J26" s="70"/>
      <c r="K26" s="60"/>
    </row>
    <row r="27" spans="2:11">
      <c r="B27" s="47" t="s">
        <v>4996</v>
      </c>
      <c r="C27" s="41" t="s">
        <v>2917</v>
      </c>
      <c r="D27" s="70"/>
      <c r="E27" s="51"/>
      <c r="F27" s="70"/>
      <c r="G27" s="70"/>
      <c r="H27" s="60"/>
      <c r="I27" s="60"/>
      <c r="J27" s="70"/>
      <c r="K27" s="60"/>
    </row>
    <row r="28" spans="2:11">
      <c r="B28" s="47" t="s">
        <v>4997</v>
      </c>
      <c r="C28" s="41" t="s">
        <v>2919</v>
      </c>
      <c r="D28" s="70"/>
      <c r="E28" s="51"/>
      <c r="F28" s="70"/>
      <c r="G28" s="70"/>
      <c r="H28" s="60"/>
      <c r="I28" s="60"/>
      <c r="J28" s="70"/>
      <c r="K28" s="60"/>
    </row>
    <row r="29" spans="2:11">
      <c r="B29" s="47" t="s">
        <v>4998</v>
      </c>
      <c r="C29" s="41" t="s">
        <v>2921</v>
      </c>
      <c r="D29" s="76"/>
      <c r="E29" s="68"/>
      <c r="F29" s="76"/>
      <c r="G29" s="76"/>
      <c r="H29" s="63"/>
      <c r="I29" s="63"/>
      <c r="J29" s="76"/>
      <c r="K29" s="60"/>
    </row>
    <row r="30" spans="2:11">
      <c r="B30" s="47" t="s">
        <v>4937</v>
      </c>
      <c r="C30" s="44" t="s">
        <v>2923</v>
      </c>
      <c r="D30" s="56"/>
      <c r="E30" s="58"/>
      <c r="F30" s="58"/>
      <c r="G30" s="58"/>
      <c r="H30" s="58"/>
      <c r="I30" s="58"/>
      <c r="J30" s="48"/>
      <c r="K30" s="63"/>
    </row>
    <row r="31" spans="2:11">
      <c r="B31" s="47" t="s">
        <v>4938</v>
      </c>
      <c r="C31" s="41" t="s">
        <v>2925</v>
      </c>
      <c r="D31" s="71"/>
      <c r="E31" s="56"/>
      <c r="F31" s="56"/>
      <c r="G31" s="56"/>
      <c r="H31" s="56"/>
      <c r="I31" s="56"/>
      <c r="J31" s="56"/>
      <c r="K31" s="46"/>
    </row>
    <row r="33" spans="2:20">
      <c r="S33" s="13" t="str">
        <f>Show!$B$148&amp;Show!$B$148&amp;"S.26.05.04.01 Rows {"&amp;COLUMN($C$1)&amp;"}"</f>
        <v>!!S.26.05.04.01 Rows {3}</v>
      </c>
      <c r="T33" s="13" t="str">
        <f>Show!$B$148&amp;Show!$B$148&amp;"S.26.05.04.01 Columns {"&amp;COLUMN($K$1)&amp;"}"</f>
        <v>!!S.26.05.04.01 Columns {11}</v>
      </c>
    </row>
    <row r="35" spans="2:20" ht="18.75">
      <c r="B35" s="88" t="s">
        <v>5012</v>
      </c>
      <c r="C35" s="87"/>
      <c r="D35" s="87"/>
      <c r="E35" s="87"/>
      <c r="F35" s="87"/>
      <c r="G35" s="87"/>
      <c r="H35" s="87"/>
      <c r="I35" s="87"/>
      <c r="J35" s="87"/>
      <c r="K35" s="87"/>
      <c r="L35" s="87"/>
    </row>
    <row r="37" spans="2:20">
      <c r="B37" t="s">
        <v>3110</v>
      </c>
      <c r="S37" s="13" t="str">
        <f>Show!$B$148&amp;"S.26.05.04.02 Table label {"&amp;COLUMN($C$1)&amp;"}"</f>
        <v>!S.26.05.04.02 Table label {3}</v>
      </c>
      <c r="T37" s="13" t="str">
        <f>Show!$B$148&amp;"S.26.05.04.02 Table value {"&amp;COLUMN($D$1)&amp;"}"</f>
        <v>!S.26.05.04.02 Table value {4}</v>
      </c>
    </row>
    <row r="38" spans="2:20">
      <c r="B38" t="s">
        <v>3111</v>
      </c>
    </row>
    <row r="39" spans="2:20">
      <c r="B39" s="40" t="s">
        <v>4622</v>
      </c>
      <c r="C39" s="53" t="s">
        <v>3113</v>
      </c>
      <c r="D39" s="51"/>
    </row>
    <row r="40" spans="2:20">
      <c r="S40" s="13" t="str">
        <f>Show!$B$148&amp;Show!$B$148&amp;"S.26.05.04.02 Table label {"&amp;COLUMN($C$1)&amp;"}"</f>
        <v>!!S.26.05.04.02 Table label {3}</v>
      </c>
      <c r="T40" s="13" t="str">
        <f>Show!$B$148&amp;Show!$B$148&amp;"S.26.05.04.02 Table value {"&amp;COLUMN($D$1)&amp;"}"</f>
        <v>!!S.26.05.04.02 Table value {4}</v>
      </c>
    </row>
    <row r="42" spans="2:20">
      <c r="D42" s="89" t="s">
        <v>2877</v>
      </c>
    </row>
    <row r="43" spans="2:20">
      <c r="D43" s="91"/>
    </row>
    <row r="44" spans="2:20">
      <c r="D44" s="55" t="s">
        <v>4643</v>
      </c>
    </row>
    <row r="45" spans="2:20">
      <c r="D45" s="45" t="s">
        <v>3239</v>
      </c>
      <c r="S45" s="13" t="str">
        <f>Show!$B$148&amp;"S.26.05.04.02 Rows {"&amp;COLUMN($C$1)&amp;"}"&amp;"@ForceFilingCode:true"</f>
        <v>!S.26.05.04.02 Rows {3}@ForceFilingCode:true</v>
      </c>
      <c r="T45" s="13" t="str">
        <f>Show!$B$148&amp;"S.26.05.04.02 Columns {"&amp;COLUMN($D$1)&amp;"}"</f>
        <v>!S.26.05.04.02 Columns {4}</v>
      </c>
    </row>
    <row r="46" spans="2:20">
      <c r="B46" s="43" t="s">
        <v>2880</v>
      </c>
      <c r="C46" s="44" t="s">
        <v>2878</v>
      </c>
      <c r="D46" s="46"/>
    </row>
    <row r="47" spans="2:20">
      <c r="B47" s="47" t="s">
        <v>5000</v>
      </c>
      <c r="C47" s="41" t="s">
        <v>2939</v>
      </c>
      <c r="D47" s="60"/>
    </row>
    <row r="49" spans="2:20">
      <c r="S49" s="13" t="str">
        <f>Show!$B$148&amp;Show!$B$148&amp;"S.26.05.04.02 Rows {"&amp;COLUMN($C$1)&amp;"}"</f>
        <v>!!S.26.05.04.02 Rows {3}</v>
      </c>
      <c r="T49" s="13" t="str">
        <f>Show!$B$148&amp;Show!$B$148&amp;"S.26.05.04.02 Columns {"&amp;COLUMN($D$1)&amp;"}"</f>
        <v>!!S.26.05.04.02 Columns {4}</v>
      </c>
    </row>
    <row r="51" spans="2:20" ht="18.75">
      <c r="B51" s="88" t="s">
        <v>5013</v>
      </c>
      <c r="C51" s="87"/>
      <c r="D51" s="87"/>
      <c r="E51" s="87"/>
      <c r="F51" s="87"/>
      <c r="G51" s="87"/>
      <c r="H51" s="87"/>
      <c r="I51" s="87"/>
      <c r="J51" s="87"/>
      <c r="K51" s="87"/>
      <c r="L51" s="87"/>
    </row>
    <row r="53" spans="2:20">
      <c r="B53" t="s">
        <v>3110</v>
      </c>
      <c r="S53" s="13" t="str">
        <f>Show!$B$148&amp;"S.26.05.04.03 Table label {"&amp;COLUMN($C$1)&amp;"}"</f>
        <v>!S.26.05.04.03 Table label {3}</v>
      </c>
      <c r="T53" s="13" t="str">
        <f>Show!$B$148&amp;"S.26.05.04.03 Table value {"&amp;COLUMN($D$1)&amp;"}"</f>
        <v>!S.26.05.04.03 Table value {4}</v>
      </c>
    </row>
    <row r="54" spans="2:20">
      <c r="B54" t="s">
        <v>3111</v>
      </c>
    </row>
    <row r="55" spans="2:20">
      <c r="B55" s="40" t="s">
        <v>4622</v>
      </c>
      <c r="C55" s="53" t="s">
        <v>3113</v>
      </c>
      <c r="D55" s="51"/>
    </row>
    <row r="56" spans="2:20">
      <c r="S56" s="13" t="str">
        <f>Show!$B$148&amp;Show!$B$148&amp;"S.26.05.04.03 Table label {"&amp;COLUMN($C$1)&amp;"}"</f>
        <v>!!S.26.05.04.03 Table label {3}</v>
      </c>
      <c r="T56" s="13" t="str">
        <f>Show!$B$148&amp;Show!$B$148&amp;"S.26.05.04.03 Table value {"&amp;COLUMN($D$1)&amp;"}"</f>
        <v>!!S.26.05.04.03 Table value {4}</v>
      </c>
    </row>
    <row r="58" spans="2:20">
      <c r="D58" s="92" t="s">
        <v>2877</v>
      </c>
      <c r="E58" s="93"/>
      <c r="F58" s="93"/>
      <c r="G58" s="93"/>
      <c r="H58" s="94"/>
    </row>
    <row r="59" spans="2:20">
      <c r="D59" s="95"/>
      <c r="E59" s="96"/>
      <c r="F59" s="96"/>
      <c r="G59" s="96"/>
      <c r="H59" s="97"/>
    </row>
    <row r="60" spans="2:20">
      <c r="D60" s="98" t="s">
        <v>4763</v>
      </c>
      <c r="E60" s="99"/>
      <c r="F60" s="98" t="s">
        <v>4764</v>
      </c>
      <c r="G60" s="100"/>
      <c r="H60" s="99"/>
    </row>
    <row r="61" spans="2:20" ht="30">
      <c r="D61" s="55" t="s">
        <v>3252</v>
      </c>
      <c r="E61" s="55" t="s">
        <v>2389</v>
      </c>
      <c r="F61" s="55" t="s">
        <v>3252</v>
      </c>
      <c r="G61" s="55" t="s">
        <v>2389</v>
      </c>
      <c r="H61" s="55" t="s">
        <v>4643</v>
      </c>
    </row>
    <row r="62" spans="2:20">
      <c r="D62" s="45" t="s">
        <v>3241</v>
      </c>
      <c r="E62" s="45" t="s">
        <v>3243</v>
      </c>
      <c r="F62" s="45" t="s">
        <v>3375</v>
      </c>
      <c r="G62" s="45" t="s">
        <v>3475</v>
      </c>
      <c r="H62" s="45" t="s">
        <v>3477</v>
      </c>
      <c r="S62" s="13" t="str">
        <f>Show!$B$148&amp;"S.26.05.04.03 Rows {"&amp;COLUMN($C$1)&amp;"}"&amp;"@ForceFilingCode:true"</f>
        <v>!S.26.05.04.03 Rows {3}@ForceFilingCode:true</v>
      </c>
      <c r="T62" s="13" t="str">
        <f>Show!$B$148&amp;"S.26.05.04.03 Columns {"&amp;COLUMN($D$1)&amp;"}"</f>
        <v>!S.26.05.04.03 Columns {4}</v>
      </c>
    </row>
    <row r="63" spans="2:20">
      <c r="B63" s="43" t="s">
        <v>2880</v>
      </c>
      <c r="C63" s="44" t="s">
        <v>2878</v>
      </c>
      <c r="D63" s="56"/>
      <c r="E63" s="66"/>
      <c r="F63" s="66"/>
      <c r="G63" s="66"/>
      <c r="H63" s="57"/>
    </row>
    <row r="64" spans="2:20">
      <c r="B64" s="47" t="s">
        <v>5002</v>
      </c>
      <c r="C64" s="41" t="s">
        <v>2959</v>
      </c>
      <c r="D64" s="60"/>
      <c r="E64" s="60"/>
      <c r="F64" s="60"/>
      <c r="G64" s="60"/>
      <c r="H64" s="60"/>
    </row>
    <row r="66" spans="2:20">
      <c r="S66" s="13" t="str">
        <f>Show!$B$148&amp;Show!$B$148&amp;"S.26.05.04.03 Rows {"&amp;COLUMN($C$1)&amp;"}"</f>
        <v>!!S.26.05.04.03 Rows {3}</v>
      </c>
      <c r="T66" s="13" t="str">
        <f>Show!$B$148&amp;Show!$B$148&amp;"S.26.05.04.03 Columns {"&amp;COLUMN($H$1)&amp;"}"</f>
        <v>!!S.26.05.04.03 Columns {8}</v>
      </c>
    </row>
    <row r="68" spans="2:20" ht="18.75">
      <c r="B68" s="88" t="s">
        <v>5014</v>
      </c>
      <c r="C68" s="87"/>
      <c r="D68" s="87"/>
      <c r="E68" s="87"/>
      <c r="F68" s="87"/>
      <c r="G68" s="87"/>
      <c r="H68" s="87"/>
      <c r="I68" s="87"/>
      <c r="J68" s="87"/>
      <c r="K68" s="87"/>
      <c r="L68" s="87"/>
    </row>
    <row r="70" spans="2:20">
      <c r="B70" t="s">
        <v>3110</v>
      </c>
      <c r="S70" s="13" t="str">
        <f>Show!$B$148&amp;"S.26.05.04.04 Table label {"&amp;COLUMN($C$1)&amp;"}"</f>
        <v>!S.26.05.04.04 Table label {3}</v>
      </c>
      <c r="T70" s="13" t="str">
        <f>Show!$B$148&amp;"S.26.05.04.04 Table value {"&amp;COLUMN($D$1)&amp;"}"</f>
        <v>!S.26.05.04.04 Table value {4}</v>
      </c>
    </row>
    <row r="71" spans="2:20">
      <c r="B71" t="s">
        <v>3111</v>
      </c>
    </row>
    <row r="72" spans="2:20">
      <c r="B72" s="40" t="s">
        <v>4622</v>
      </c>
      <c r="C72" s="53" t="s">
        <v>3113</v>
      </c>
      <c r="D72" s="51"/>
    </row>
    <row r="73" spans="2:20">
      <c r="S73" s="13" t="str">
        <f>Show!$B$148&amp;Show!$B$148&amp;"S.26.05.04.04 Table label {"&amp;COLUMN($C$1)&amp;"}"</f>
        <v>!!S.26.05.04.04 Table label {3}</v>
      </c>
      <c r="T73" s="13" t="str">
        <f>Show!$B$148&amp;Show!$B$148&amp;"S.26.05.04.04 Table value {"&amp;COLUMN($D$1)&amp;"}"</f>
        <v>!!S.26.05.04.04 Table value {4}</v>
      </c>
    </row>
    <row r="75" spans="2:20">
      <c r="D75" s="89" t="s">
        <v>2877</v>
      </c>
    </row>
    <row r="76" spans="2:20">
      <c r="D76" s="91"/>
    </row>
    <row r="77" spans="2:20">
      <c r="D77" s="55" t="s">
        <v>4643</v>
      </c>
    </row>
    <row r="78" spans="2:20">
      <c r="D78" s="45" t="s">
        <v>3479</v>
      </c>
      <c r="S78" s="13" t="str">
        <f>Show!$B$148&amp;"S.26.05.04.04 Rows {"&amp;COLUMN($C$1)&amp;"}"&amp;"@ForceFilingCode:true"</f>
        <v>!S.26.05.04.04 Rows {3}@ForceFilingCode:true</v>
      </c>
      <c r="T78" s="13" t="str">
        <f>Show!$B$148&amp;"S.26.05.04.04 Columns {"&amp;COLUMN($D$1)&amp;"}"</f>
        <v>!S.26.05.04.04 Columns {4}</v>
      </c>
    </row>
    <row r="79" spans="2:20">
      <c r="B79" s="43" t="s">
        <v>2880</v>
      </c>
      <c r="C79" s="44" t="s">
        <v>2878</v>
      </c>
      <c r="D79" s="46"/>
    </row>
    <row r="80" spans="2:20">
      <c r="B80" s="47" t="s">
        <v>5004</v>
      </c>
      <c r="C80" s="41" t="s">
        <v>2977</v>
      </c>
      <c r="D80" s="60"/>
    </row>
    <row r="81" spans="2:20">
      <c r="B81" s="47" t="s">
        <v>5005</v>
      </c>
      <c r="C81" s="41" t="s">
        <v>2997</v>
      </c>
      <c r="D81" s="60"/>
    </row>
    <row r="82" spans="2:20">
      <c r="B82" s="47" t="s">
        <v>5006</v>
      </c>
      <c r="C82" s="41" t="s">
        <v>3064</v>
      </c>
      <c r="D82" s="60"/>
    </row>
    <row r="84" spans="2:20">
      <c r="S84" s="13" t="str">
        <f>Show!$B$148&amp;Show!$B$148&amp;"S.26.05.04.04 Rows {"&amp;COLUMN($C$1)&amp;"}"</f>
        <v>!!S.26.05.04.04 Rows {3}</v>
      </c>
      <c r="T84" s="13" t="str">
        <f>Show!$B$148&amp;Show!$B$148&amp;"S.26.05.04.04 Columns {"&amp;COLUMN($D$1)&amp;"}"</f>
        <v>!!S.26.05.04.04 Columns {4}</v>
      </c>
    </row>
    <row r="86" spans="2:20" ht="18.75">
      <c r="B86" s="88" t="s">
        <v>5015</v>
      </c>
      <c r="C86" s="87"/>
      <c r="D86" s="87"/>
      <c r="E86" s="87"/>
      <c r="F86" s="87"/>
      <c r="G86" s="87"/>
      <c r="H86" s="87"/>
      <c r="I86" s="87"/>
      <c r="J86" s="87"/>
      <c r="K86" s="87"/>
      <c r="L86" s="87"/>
    </row>
    <row r="88" spans="2:20">
      <c r="B88" t="s">
        <v>3110</v>
      </c>
      <c r="S88" s="13" t="str">
        <f>Show!$B$148&amp;"S.26.05.04.05 Table label {"&amp;COLUMN($C$1)&amp;"}"</f>
        <v>!S.26.05.04.05 Table label {3}</v>
      </c>
      <c r="T88" s="13" t="str">
        <f>Show!$B$148&amp;"S.26.05.04.05 Table value {"&amp;COLUMN($D$1)&amp;"}"</f>
        <v>!S.26.05.04.05 Table value {4}</v>
      </c>
    </row>
    <row r="89" spans="2:20">
      <c r="B89" t="s">
        <v>3111</v>
      </c>
    </row>
    <row r="90" spans="2:20">
      <c r="B90" s="40" t="s">
        <v>4622</v>
      </c>
      <c r="C90" s="53" t="s">
        <v>3113</v>
      </c>
      <c r="D90" s="51"/>
    </row>
    <row r="91" spans="2:20">
      <c r="S91" s="13" t="str">
        <f>Show!$B$148&amp;Show!$B$148&amp;"S.26.05.04.05 Table label {"&amp;COLUMN($C$1)&amp;"}"</f>
        <v>!!S.26.05.04.05 Table label {3}</v>
      </c>
      <c r="T91" s="13" t="str">
        <f>Show!$B$148&amp;Show!$B$148&amp;"S.26.05.04.05 Table value {"&amp;COLUMN($D$1)&amp;"}"</f>
        <v>!!S.26.05.04.05 Table value {4}</v>
      </c>
    </row>
    <row r="93" spans="2:20">
      <c r="D93" s="89" t="s">
        <v>2877</v>
      </c>
    </row>
    <row r="94" spans="2:20">
      <c r="D94" s="91"/>
    </row>
    <row r="95" spans="2:20">
      <c r="D95" s="55" t="s">
        <v>2574</v>
      </c>
    </row>
    <row r="96" spans="2:20">
      <c r="D96" s="45" t="s">
        <v>2879</v>
      </c>
      <c r="S96" s="13" t="str">
        <f>Show!$B$148&amp;"S.26.05.04.05 Rows {"&amp;COLUMN($C$1)&amp;"}"&amp;"@ForceFilingCode:true"</f>
        <v>!S.26.05.04.05 Rows {3}@ForceFilingCode:true</v>
      </c>
      <c r="T96" s="13" t="str">
        <f>Show!$B$148&amp;"S.26.05.04.05 Columns {"&amp;COLUMN($D$1)&amp;"}"</f>
        <v>!S.26.05.04.05 Columns {4}</v>
      </c>
    </row>
    <row r="97" spans="2:20">
      <c r="B97" s="43" t="s">
        <v>2880</v>
      </c>
      <c r="C97" s="44" t="s">
        <v>2878</v>
      </c>
      <c r="D97" s="46"/>
    </row>
    <row r="98" spans="2:20">
      <c r="B98" s="47" t="s">
        <v>5008</v>
      </c>
      <c r="C98" s="41" t="s">
        <v>2883</v>
      </c>
      <c r="D98" s="51"/>
    </row>
    <row r="99" spans="2:20">
      <c r="B99" s="47" t="s">
        <v>5009</v>
      </c>
      <c r="C99" s="41" t="s">
        <v>5010</v>
      </c>
      <c r="D99" s="51"/>
    </row>
    <row r="101" spans="2:20">
      <c r="S101" s="13" t="str">
        <f>Show!$B$148&amp;Show!$B$148&amp;"S.26.05.04.05 Rows {"&amp;COLUMN($C$1)&amp;"}"</f>
        <v>!!S.26.05.04.05 Rows {3}</v>
      </c>
      <c r="T101" s="13" t="str">
        <f>Show!$B$148&amp;Show!$B$148&amp;"S.26.05.04.05 Columns {"&amp;COLUMN($D$1)&amp;"}"</f>
        <v>!!S.26.05.04.05 Columns {4}</v>
      </c>
    </row>
  </sheetData>
  <sheetProtection sheet="1" objects="1" scenarios="1"/>
  <mergeCells count="15">
    <mergeCell ref="B35:L35"/>
    <mergeCell ref="B2:O2"/>
    <mergeCell ref="B5:L5"/>
    <mergeCell ref="D12:K13"/>
    <mergeCell ref="D14:F14"/>
    <mergeCell ref="H14:K14"/>
    <mergeCell ref="D75:D76"/>
    <mergeCell ref="B86:L86"/>
    <mergeCell ref="D93:D94"/>
    <mergeCell ref="D42:D43"/>
    <mergeCell ref="B51:L51"/>
    <mergeCell ref="D58:H59"/>
    <mergeCell ref="D60:E60"/>
    <mergeCell ref="F60:H60"/>
    <mergeCell ref="B68:L68"/>
  </mergeCells>
  <dataValidations count="4">
    <dataValidation type="list" errorStyle="warning" allowBlank="1" showInputMessage="1" showErrorMessage="1" sqref="D9 D39 D55 D72 D90" xr:uid="{7BFA1853-EA53-4CE0-BB4B-C53FE7168270}">
      <formula1>hier_AO_1</formula1>
    </dataValidation>
    <dataValidation type="list" errorStyle="warning" allowBlank="1" showInputMessage="1" showErrorMessage="1" sqref="E18 E19 E20 E21 E22 E23 E24 E25 E26 E27 E28 E29" xr:uid="{D9195D49-3A59-4ED0-BA84-D978DF55BC97}">
      <formula1>hier_AP_12</formula1>
    </dataValidation>
    <dataValidation type="list" errorStyle="warning" allowBlank="1" showInputMessage="1" showErrorMessage="1" sqref="D98" xr:uid="{F1FB6B37-5D45-4E1B-9B6E-D77C1F69E132}">
      <formula1>hier_AP_17</formula1>
    </dataValidation>
    <dataValidation type="list" errorStyle="warning" allowBlank="1" showInputMessage="1" showErrorMessage="1" sqref="D99" xr:uid="{86899085-246D-4222-BACA-480DEC0338B3}">
      <formula1>hier_AP_27</formula1>
    </dataValidation>
  </dataValidations>
  <pageMargins left="0.7" right="0.7" top="0.75" bottom="0.75" header="0.3" footer="0.3"/>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DB57D-7661-41FE-9150-3BD0CF6577B5}">
  <sheetPr codeName="Blad153"/>
  <dimension ref="B2:T111"/>
  <sheetViews>
    <sheetView showGridLines="0" workbookViewId="0"/>
  </sheetViews>
  <sheetFormatPr defaultRowHeight="15"/>
  <cols>
    <col min="2" max="2" width="61.85546875" bestFit="1" customWidth="1"/>
    <col min="4" max="4" width="40.7109375" customWidth="1"/>
    <col min="5" max="11" width="15.7109375" customWidth="1"/>
  </cols>
  <sheetData>
    <row r="2" spans="2:20" ht="23.25">
      <c r="B2" s="86" t="s">
        <v>730</v>
      </c>
      <c r="C2" s="87"/>
      <c r="D2" s="87"/>
      <c r="E2" s="87"/>
      <c r="F2" s="87"/>
      <c r="G2" s="87"/>
      <c r="H2" s="87"/>
      <c r="I2" s="87"/>
      <c r="J2" s="87"/>
      <c r="K2" s="87"/>
      <c r="L2" s="87"/>
      <c r="M2" s="87"/>
      <c r="N2" s="87"/>
      <c r="O2" s="87"/>
    </row>
    <row r="5" spans="2:20" ht="18.75">
      <c r="B5" s="88" t="s">
        <v>5016</v>
      </c>
      <c r="C5" s="87"/>
      <c r="D5" s="87"/>
      <c r="E5" s="87"/>
      <c r="F5" s="87"/>
      <c r="G5" s="87"/>
      <c r="H5" s="87"/>
      <c r="I5" s="87"/>
      <c r="J5" s="87"/>
      <c r="K5" s="87"/>
      <c r="L5" s="87"/>
    </row>
    <row r="7" spans="2:20">
      <c r="B7" t="s">
        <v>3110</v>
      </c>
      <c r="S7" s="13" t="str">
        <f>Show!$B$149&amp;"SR.26.05.01.01 Table label {"&amp;COLUMN($C$1)&amp;"}"</f>
        <v>!SR.26.05.01.01 Table label {3}</v>
      </c>
      <c r="T7" s="13" t="str">
        <f>Show!$B$149&amp;"SR.26.05.01.01 Table value {"&amp;COLUMN($D$1)&amp;"}"</f>
        <v>!SR.26.05.01.01 Table value {4}</v>
      </c>
    </row>
    <row r="8" spans="2:20">
      <c r="B8" t="s">
        <v>3111</v>
      </c>
    </row>
    <row r="9" spans="2:20">
      <c r="B9" s="40" t="s">
        <v>4622</v>
      </c>
      <c r="C9" s="53" t="s">
        <v>3113</v>
      </c>
      <c r="D9" s="51"/>
    </row>
    <row r="10" spans="2:20">
      <c r="B10" s="40" t="s">
        <v>3788</v>
      </c>
      <c r="C10" s="53" t="s">
        <v>3115</v>
      </c>
      <c r="D10" s="51"/>
    </row>
    <row r="11" spans="2:20">
      <c r="B11" s="40" t="s">
        <v>3114</v>
      </c>
      <c r="C11" s="53" t="s">
        <v>3323</v>
      </c>
      <c r="D11" s="50"/>
    </row>
    <row r="12" spans="2:20">
      <c r="S12" s="13" t="str">
        <f>Show!$B$149&amp;Show!$B$149&amp;"SR.26.05.01.01 Table label {"&amp;COLUMN($C$1)&amp;"}"</f>
        <v>!!SR.26.05.01.01 Table label {3}</v>
      </c>
      <c r="T12" s="13" t="str">
        <f>Show!$B$149&amp;Show!$B$149&amp;"SR.26.05.01.01 Table value {"&amp;COLUMN($D$1)&amp;"}"</f>
        <v>!!SR.26.05.01.01 Table value {4}</v>
      </c>
    </row>
    <row r="14" spans="2:20">
      <c r="D14" s="92" t="s">
        <v>2877</v>
      </c>
      <c r="E14" s="93"/>
      <c r="F14" s="93"/>
      <c r="G14" s="93"/>
      <c r="H14" s="93"/>
      <c r="I14" s="93"/>
      <c r="J14" s="93"/>
      <c r="K14" s="94"/>
    </row>
    <row r="15" spans="2:20">
      <c r="D15" s="95"/>
      <c r="E15" s="96"/>
      <c r="F15" s="96"/>
      <c r="G15" s="96"/>
      <c r="H15" s="96"/>
      <c r="I15" s="96"/>
      <c r="J15" s="96"/>
      <c r="K15" s="97"/>
    </row>
    <row r="16" spans="2:20" ht="45">
      <c r="D16" s="98" t="s">
        <v>4924</v>
      </c>
      <c r="E16" s="100"/>
      <c r="F16" s="99"/>
      <c r="G16" s="55" t="s">
        <v>4928</v>
      </c>
      <c r="H16" s="98" t="s">
        <v>4929</v>
      </c>
      <c r="I16" s="100"/>
      <c r="J16" s="100"/>
      <c r="K16" s="99"/>
    </row>
    <row r="17" spans="2:20" ht="60">
      <c r="D17" s="55" t="s">
        <v>4925</v>
      </c>
      <c r="E17" s="55" t="s">
        <v>4926</v>
      </c>
      <c r="F17" s="55" t="s">
        <v>4927</v>
      </c>
      <c r="G17" s="55" t="s">
        <v>4687</v>
      </c>
      <c r="H17" s="55" t="s">
        <v>4930</v>
      </c>
      <c r="I17" s="55" t="s">
        <v>4931</v>
      </c>
      <c r="J17" s="55" t="s">
        <v>4932</v>
      </c>
      <c r="K17" s="55" t="s">
        <v>4933</v>
      </c>
    </row>
    <row r="18" spans="2:20">
      <c r="D18" s="45" t="s">
        <v>3219</v>
      </c>
      <c r="E18" s="45" t="s">
        <v>3225</v>
      </c>
      <c r="F18" s="45" t="s">
        <v>3223</v>
      </c>
      <c r="G18" s="45" t="s">
        <v>3229</v>
      </c>
      <c r="H18" s="45" t="s">
        <v>3231</v>
      </c>
      <c r="I18" s="45" t="s">
        <v>3233</v>
      </c>
      <c r="J18" s="45" t="s">
        <v>3234</v>
      </c>
      <c r="K18" s="45" t="s">
        <v>3236</v>
      </c>
      <c r="S18" s="13" t="str">
        <f>Show!$B$149&amp;"SR.26.05.01.01 Rows {"&amp;COLUMN($C$1)&amp;"}"&amp;"@ForceFilingCode:true"</f>
        <v>!SR.26.05.01.01 Rows {3}@ForceFilingCode:true</v>
      </c>
      <c r="T18" s="13" t="str">
        <f>Show!$B$149&amp;"SR.26.05.01.01 Columns {"&amp;COLUMN($D$1)&amp;"}"</f>
        <v>!SR.26.05.01.01 Columns {4}</v>
      </c>
    </row>
    <row r="19" spans="2:20">
      <c r="B19" s="43" t="s">
        <v>2880</v>
      </c>
      <c r="C19" s="44" t="s">
        <v>2878</v>
      </c>
      <c r="D19" s="56"/>
      <c r="E19" s="66"/>
      <c r="F19" s="66"/>
      <c r="G19" s="66"/>
      <c r="H19" s="66"/>
      <c r="I19" s="66"/>
      <c r="J19" s="66"/>
      <c r="K19" s="57"/>
    </row>
    <row r="20" spans="2:20">
      <c r="B20" s="47" t="s">
        <v>4988</v>
      </c>
      <c r="C20" s="41" t="s">
        <v>2899</v>
      </c>
      <c r="D20" s="70"/>
      <c r="E20" s="51"/>
      <c r="F20" s="70"/>
      <c r="G20" s="70"/>
      <c r="H20" s="60"/>
      <c r="I20" s="60"/>
      <c r="J20" s="70"/>
      <c r="K20" s="60"/>
    </row>
    <row r="21" spans="2:20">
      <c r="B21" s="47" t="s">
        <v>4989</v>
      </c>
      <c r="C21" s="41" t="s">
        <v>2901</v>
      </c>
      <c r="D21" s="70"/>
      <c r="E21" s="51"/>
      <c r="F21" s="70"/>
      <c r="G21" s="70"/>
      <c r="H21" s="60"/>
      <c r="I21" s="60"/>
      <c r="J21" s="70"/>
      <c r="K21" s="60"/>
    </row>
    <row r="22" spans="2:20">
      <c r="B22" s="47" t="s">
        <v>4990</v>
      </c>
      <c r="C22" s="41" t="s">
        <v>2903</v>
      </c>
      <c r="D22" s="70"/>
      <c r="E22" s="51"/>
      <c r="F22" s="70"/>
      <c r="G22" s="70"/>
      <c r="H22" s="60"/>
      <c r="I22" s="60"/>
      <c r="J22" s="70"/>
      <c r="K22" s="60"/>
    </row>
    <row r="23" spans="2:20">
      <c r="B23" s="47" t="s">
        <v>4991</v>
      </c>
      <c r="C23" s="41" t="s">
        <v>2905</v>
      </c>
      <c r="D23" s="70"/>
      <c r="E23" s="51"/>
      <c r="F23" s="70"/>
      <c r="G23" s="70"/>
      <c r="H23" s="60"/>
      <c r="I23" s="60"/>
      <c r="J23" s="70"/>
      <c r="K23" s="60"/>
    </row>
    <row r="24" spans="2:20">
      <c r="B24" s="47" t="s">
        <v>4992</v>
      </c>
      <c r="C24" s="41" t="s">
        <v>2907</v>
      </c>
      <c r="D24" s="70"/>
      <c r="E24" s="51"/>
      <c r="F24" s="70"/>
      <c r="G24" s="70"/>
      <c r="H24" s="60"/>
      <c r="I24" s="60"/>
      <c r="J24" s="70"/>
      <c r="K24" s="60"/>
    </row>
    <row r="25" spans="2:20">
      <c r="B25" s="47" t="s">
        <v>4993</v>
      </c>
      <c r="C25" s="41" t="s">
        <v>2909</v>
      </c>
      <c r="D25" s="70"/>
      <c r="E25" s="51"/>
      <c r="F25" s="70"/>
      <c r="G25" s="70"/>
      <c r="H25" s="60"/>
      <c r="I25" s="60"/>
      <c r="J25" s="70"/>
      <c r="K25" s="60"/>
    </row>
    <row r="26" spans="2:20">
      <c r="B26" s="47" t="s">
        <v>4994</v>
      </c>
      <c r="C26" s="41" t="s">
        <v>2911</v>
      </c>
      <c r="D26" s="70"/>
      <c r="E26" s="51"/>
      <c r="F26" s="70"/>
      <c r="G26" s="70"/>
      <c r="H26" s="60"/>
      <c r="I26" s="60"/>
      <c r="J26" s="70"/>
      <c r="K26" s="60"/>
    </row>
    <row r="27" spans="2:20">
      <c r="B27" s="47" t="s">
        <v>3470</v>
      </c>
      <c r="C27" s="41" t="s">
        <v>2913</v>
      </c>
      <c r="D27" s="70"/>
      <c r="E27" s="51"/>
      <c r="F27" s="70"/>
      <c r="G27" s="70"/>
      <c r="H27" s="60"/>
      <c r="I27" s="60"/>
      <c r="J27" s="70"/>
      <c r="K27" s="60"/>
    </row>
    <row r="28" spans="2:20">
      <c r="B28" s="47" t="s">
        <v>4995</v>
      </c>
      <c r="C28" s="41" t="s">
        <v>2915</v>
      </c>
      <c r="D28" s="70"/>
      <c r="E28" s="51"/>
      <c r="F28" s="70"/>
      <c r="G28" s="70"/>
      <c r="H28" s="60"/>
      <c r="I28" s="60"/>
      <c r="J28" s="70"/>
      <c r="K28" s="60"/>
    </row>
    <row r="29" spans="2:20">
      <c r="B29" s="47" t="s">
        <v>4996</v>
      </c>
      <c r="C29" s="41" t="s">
        <v>2917</v>
      </c>
      <c r="D29" s="70"/>
      <c r="E29" s="51"/>
      <c r="F29" s="70"/>
      <c r="G29" s="70"/>
      <c r="H29" s="60"/>
      <c r="I29" s="60"/>
      <c r="J29" s="70"/>
      <c r="K29" s="60"/>
    </row>
    <row r="30" spans="2:20">
      <c r="B30" s="47" t="s">
        <v>4997</v>
      </c>
      <c r="C30" s="41" t="s">
        <v>2919</v>
      </c>
      <c r="D30" s="70"/>
      <c r="E30" s="51"/>
      <c r="F30" s="70"/>
      <c r="G30" s="70"/>
      <c r="H30" s="60"/>
      <c r="I30" s="60"/>
      <c r="J30" s="70"/>
      <c r="K30" s="60"/>
    </row>
    <row r="31" spans="2:20">
      <c r="B31" s="47" t="s">
        <v>4998</v>
      </c>
      <c r="C31" s="41" t="s">
        <v>2921</v>
      </c>
      <c r="D31" s="76"/>
      <c r="E31" s="68"/>
      <c r="F31" s="76"/>
      <c r="G31" s="76"/>
      <c r="H31" s="63"/>
      <c r="I31" s="63"/>
      <c r="J31" s="76"/>
      <c r="K31" s="60"/>
    </row>
    <row r="32" spans="2:20">
      <c r="B32" s="47" t="s">
        <v>4937</v>
      </c>
      <c r="C32" s="44" t="s">
        <v>2923</v>
      </c>
      <c r="D32" s="56"/>
      <c r="E32" s="58"/>
      <c r="F32" s="58"/>
      <c r="G32" s="58"/>
      <c r="H32" s="58"/>
      <c r="I32" s="58"/>
      <c r="J32" s="48"/>
      <c r="K32" s="63"/>
    </row>
    <row r="33" spans="2:20">
      <c r="B33" s="47" t="s">
        <v>4938</v>
      </c>
      <c r="C33" s="41" t="s">
        <v>2925</v>
      </c>
      <c r="D33" s="71"/>
      <c r="E33" s="56"/>
      <c r="F33" s="56"/>
      <c r="G33" s="56"/>
      <c r="H33" s="56"/>
      <c r="I33" s="56"/>
      <c r="J33" s="56"/>
      <c r="K33" s="46"/>
    </row>
    <row r="35" spans="2:20">
      <c r="S35" s="13" t="str">
        <f>Show!$B$149&amp;Show!$B$149&amp;"SR.26.05.01.01 Rows {"&amp;COLUMN($C$1)&amp;"}"</f>
        <v>!!SR.26.05.01.01 Rows {3}</v>
      </c>
      <c r="T35" s="13" t="str">
        <f>Show!$B$149&amp;Show!$B$149&amp;"SR.26.05.01.01 Columns {"&amp;COLUMN($K$1)&amp;"}"</f>
        <v>!!SR.26.05.01.01 Columns {11}</v>
      </c>
    </row>
    <row r="37" spans="2:20" ht="18.75">
      <c r="B37" s="88" t="s">
        <v>5017</v>
      </c>
      <c r="C37" s="87"/>
      <c r="D37" s="87"/>
      <c r="E37" s="87"/>
      <c r="F37" s="87"/>
      <c r="G37" s="87"/>
      <c r="H37" s="87"/>
      <c r="I37" s="87"/>
      <c r="J37" s="87"/>
      <c r="K37" s="87"/>
      <c r="L37" s="87"/>
    </row>
    <row r="39" spans="2:20">
      <c r="B39" t="s">
        <v>3110</v>
      </c>
      <c r="S39" s="13" t="str">
        <f>Show!$B$149&amp;"SR.26.05.01.02 Table label {"&amp;COLUMN($C$1)&amp;"}"</f>
        <v>!SR.26.05.01.02 Table label {3}</v>
      </c>
      <c r="T39" s="13" t="str">
        <f>Show!$B$149&amp;"SR.26.05.01.02 Table value {"&amp;COLUMN($D$1)&amp;"}"</f>
        <v>!SR.26.05.01.02 Table value {4}</v>
      </c>
    </row>
    <row r="40" spans="2:20">
      <c r="B40" t="s">
        <v>3111</v>
      </c>
    </row>
    <row r="41" spans="2:20">
      <c r="B41" s="40" t="s">
        <v>4622</v>
      </c>
      <c r="C41" s="53" t="s">
        <v>3113</v>
      </c>
      <c r="D41" s="51"/>
    </row>
    <row r="42" spans="2:20">
      <c r="B42" s="40" t="s">
        <v>3788</v>
      </c>
      <c r="C42" s="53" t="s">
        <v>3115</v>
      </c>
      <c r="D42" s="51"/>
    </row>
    <row r="43" spans="2:20">
      <c r="B43" s="40" t="s">
        <v>3114</v>
      </c>
      <c r="C43" s="53" t="s">
        <v>3323</v>
      </c>
      <c r="D43" s="50"/>
    </row>
    <row r="44" spans="2:20">
      <c r="S44" s="13" t="str">
        <f>Show!$B$149&amp;Show!$B$149&amp;"SR.26.05.01.02 Table label {"&amp;COLUMN($C$1)&amp;"}"</f>
        <v>!!SR.26.05.01.02 Table label {3}</v>
      </c>
      <c r="T44" s="13" t="str">
        <f>Show!$B$149&amp;Show!$B$149&amp;"SR.26.05.01.02 Table value {"&amp;COLUMN($D$1)&amp;"}"</f>
        <v>!!SR.26.05.01.02 Table value {4}</v>
      </c>
    </row>
    <row r="46" spans="2:20">
      <c r="D46" s="89" t="s">
        <v>2877</v>
      </c>
    </row>
    <row r="47" spans="2:20">
      <c r="D47" s="91"/>
    </row>
    <row r="48" spans="2:20">
      <c r="D48" s="55" t="s">
        <v>4643</v>
      </c>
    </row>
    <row r="49" spans="2:20">
      <c r="D49" s="45" t="s">
        <v>3239</v>
      </c>
      <c r="S49" s="13" t="str">
        <f>Show!$B$149&amp;"SR.26.05.01.02 Rows {"&amp;COLUMN($C$1)&amp;"}"&amp;"@ForceFilingCode:true"</f>
        <v>!SR.26.05.01.02 Rows {3}@ForceFilingCode:true</v>
      </c>
      <c r="T49" s="13" t="str">
        <f>Show!$B$149&amp;"SR.26.05.01.02 Columns {"&amp;COLUMN($D$1)&amp;"}"</f>
        <v>!SR.26.05.01.02 Columns {4}</v>
      </c>
    </row>
    <row r="50" spans="2:20">
      <c r="B50" s="43" t="s">
        <v>2880</v>
      </c>
      <c r="C50" s="44" t="s">
        <v>2878</v>
      </c>
      <c r="D50" s="46"/>
    </row>
    <row r="51" spans="2:20">
      <c r="B51" s="47" t="s">
        <v>5000</v>
      </c>
      <c r="C51" s="41" t="s">
        <v>2939</v>
      </c>
      <c r="D51" s="60"/>
    </row>
    <row r="53" spans="2:20">
      <c r="S53" s="13" t="str">
        <f>Show!$B$149&amp;Show!$B$149&amp;"SR.26.05.01.02 Rows {"&amp;COLUMN($C$1)&amp;"}"</f>
        <v>!!SR.26.05.01.02 Rows {3}</v>
      </c>
      <c r="T53" s="13" t="str">
        <f>Show!$B$149&amp;Show!$B$149&amp;"SR.26.05.01.02 Columns {"&amp;COLUMN($D$1)&amp;"}"</f>
        <v>!!SR.26.05.01.02 Columns {4}</v>
      </c>
    </row>
    <row r="55" spans="2:20" ht="18.75">
      <c r="B55" s="88" t="s">
        <v>5018</v>
      </c>
      <c r="C55" s="87"/>
      <c r="D55" s="87"/>
      <c r="E55" s="87"/>
      <c r="F55" s="87"/>
      <c r="G55" s="87"/>
      <c r="H55" s="87"/>
      <c r="I55" s="87"/>
      <c r="J55" s="87"/>
      <c r="K55" s="87"/>
      <c r="L55" s="87"/>
    </row>
    <row r="57" spans="2:20">
      <c r="B57" t="s">
        <v>3110</v>
      </c>
      <c r="S57" s="13" t="str">
        <f>Show!$B$149&amp;"SR.26.05.01.03 Table label {"&amp;COLUMN($C$1)&amp;"}"</f>
        <v>!SR.26.05.01.03 Table label {3}</v>
      </c>
      <c r="T57" s="13" t="str">
        <f>Show!$B$149&amp;"SR.26.05.01.03 Table value {"&amp;COLUMN($D$1)&amp;"}"</f>
        <v>!SR.26.05.01.03 Table value {4}</v>
      </c>
    </row>
    <row r="58" spans="2:20">
      <c r="B58" t="s">
        <v>3111</v>
      </c>
    </row>
    <row r="59" spans="2:20">
      <c r="B59" s="40" t="s">
        <v>4622</v>
      </c>
      <c r="C59" s="53" t="s">
        <v>3113</v>
      </c>
      <c r="D59" s="51"/>
    </row>
    <row r="60" spans="2:20">
      <c r="B60" s="40" t="s">
        <v>3788</v>
      </c>
      <c r="C60" s="53" t="s">
        <v>3115</v>
      </c>
      <c r="D60" s="51"/>
    </row>
    <row r="61" spans="2:20">
      <c r="B61" s="40" t="s">
        <v>3114</v>
      </c>
      <c r="C61" s="53" t="s">
        <v>3323</v>
      </c>
      <c r="D61" s="50"/>
    </row>
    <row r="62" spans="2:20">
      <c r="S62" s="13" t="str">
        <f>Show!$B$149&amp;Show!$B$149&amp;"SR.26.05.01.03 Table label {"&amp;COLUMN($C$1)&amp;"}"</f>
        <v>!!SR.26.05.01.03 Table label {3}</v>
      </c>
      <c r="T62" s="13" t="str">
        <f>Show!$B$149&amp;Show!$B$149&amp;"SR.26.05.01.03 Table value {"&amp;COLUMN($D$1)&amp;"}"</f>
        <v>!!SR.26.05.01.03 Table value {4}</v>
      </c>
    </row>
    <row r="64" spans="2:20">
      <c r="D64" s="92" t="s">
        <v>2877</v>
      </c>
      <c r="E64" s="93"/>
      <c r="F64" s="93"/>
      <c r="G64" s="93"/>
      <c r="H64" s="94"/>
    </row>
    <row r="65" spans="2:20">
      <c r="D65" s="95"/>
      <c r="E65" s="96"/>
      <c r="F65" s="96"/>
      <c r="G65" s="96"/>
      <c r="H65" s="97"/>
    </row>
    <row r="66" spans="2:20">
      <c r="D66" s="98" t="s">
        <v>4763</v>
      </c>
      <c r="E66" s="99"/>
      <c r="F66" s="98" t="s">
        <v>4764</v>
      </c>
      <c r="G66" s="100"/>
      <c r="H66" s="99"/>
    </row>
    <row r="67" spans="2:20" ht="30">
      <c r="D67" s="55" t="s">
        <v>3252</v>
      </c>
      <c r="E67" s="55" t="s">
        <v>2389</v>
      </c>
      <c r="F67" s="55" t="s">
        <v>3252</v>
      </c>
      <c r="G67" s="55" t="s">
        <v>2389</v>
      </c>
      <c r="H67" s="55" t="s">
        <v>4643</v>
      </c>
    </row>
    <row r="68" spans="2:20">
      <c r="D68" s="45" t="s">
        <v>3241</v>
      </c>
      <c r="E68" s="45" t="s">
        <v>3243</v>
      </c>
      <c r="F68" s="45" t="s">
        <v>3375</v>
      </c>
      <c r="G68" s="45" t="s">
        <v>3475</v>
      </c>
      <c r="H68" s="45" t="s">
        <v>3477</v>
      </c>
      <c r="S68" s="13" t="str">
        <f>Show!$B$149&amp;"SR.26.05.01.03 Rows {"&amp;COLUMN($C$1)&amp;"}"&amp;"@ForceFilingCode:true"</f>
        <v>!SR.26.05.01.03 Rows {3}@ForceFilingCode:true</v>
      </c>
      <c r="T68" s="13" t="str">
        <f>Show!$B$149&amp;"SR.26.05.01.03 Columns {"&amp;COLUMN($D$1)&amp;"}"</f>
        <v>!SR.26.05.01.03 Columns {4}</v>
      </c>
    </row>
    <row r="69" spans="2:20">
      <c r="B69" s="43" t="s">
        <v>2880</v>
      </c>
      <c r="C69" s="44" t="s">
        <v>2878</v>
      </c>
      <c r="D69" s="56"/>
      <c r="E69" s="66"/>
      <c r="F69" s="66"/>
      <c r="G69" s="66"/>
      <c r="H69" s="57"/>
    </row>
    <row r="70" spans="2:20">
      <c r="B70" s="47" t="s">
        <v>5002</v>
      </c>
      <c r="C70" s="41" t="s">
        <v>2959</v>
      </c>
      <c r="D70" s="60"/>
      <c r="E70" s="60"/>
      <c r="F70" s="60"/>
      <c r="G70" s="60"/>
      <c r="H70" s="60"/>
    </row>
    <row r="72" spans="2:20">
      <c r="S72" s="13" t="str">
        <f>Show!$B$149&amp;Show!$B$149&amp;"SR.26.05.01.03 Rows {"&amp;COLUMN($C$1)&amp;"}"</f>
        <v>!!SR.26.05.01.03 Rows {3}</v>
      </c>
      <c r="T72" s="13" t="str">
        <f>Show!$B$149&amp;Show!$B$149&amp;"SR.26.05.01.03 Columns {"&amp;COLUMN($H$1)&amp;"}"</f>
        <v>!!SR.26.05.01.03 Columns {8}</v>
      </c>
    </row>
    <row r="74" spans="2:20" ht="18.75">
      <c r="B74" s="88" t="s">
        <v>5019</v>
      </c>
      <c r="C74" s="87"/>
      <c r="D74" s="87"/>
      <c r="E74" s="87"/>
      <c r="F74" s="87"/>
      <c r="G74" s="87"/>
      <c r="H74" s="87"/>
      <c r="I74" s="87"/>
      <c r="J74" s="87"/>
      <c r="K74" s="87"/>
      <c r="L74" s="87"/>
    </row>
    <row r="76" spans="2:20">
      <c r="B76" t="s">
        <v>3110</v>
      </c>
      <c r="S76" s="13" t="str">
        <f>Show!$B$149&amp;"SR.26.05.01.04 Table label {"&amp;COLUMN($C$1)&amp;"}"</f>
        <v>!SR.26.05.01.04 Table label {3}</v>
      </c>
      <c r="T76" s="13" t="str">
        <f>Show!$B$149&amp;"SR.26.05.01.04 Table value {"&amp;COLUMN($D$1)&amp;"}"</f>
        <v>!SR.26.05.01.04 Table value {4}</v>
      </c>
    </row>
    <row r="77" spans="2:20">
      <c r="B77" t="s">
        <v>3111</v>
      </c>
    </row>
    <row r="78" spans="2:20">
      <c r="B78" s="40" t="s">
        <v>4622</v>
      </c>
      <c r="C78" s="53" t="s">
        <v>3113</v>
      </c>
      <c r="D78" s="51"/>
    </row>
    <row r="79" spans="2:20">
      <c r="B79" s="40" t="s">
        <v>3788</v>
      </c>
      <c r="C79" s="53" t="s">
        <v>3115</v>
      </c>
      <c r="D79" s="51"/>
    </row>
    <row r="80" spans="2:20">
      <c r="B80" s="40" t="s">
        <v>3114</v>
      </c>
      <c r="C80" s="53" t="s">
        <v>3323</v>
      </c>
      <c r="D80" s="50"/>
    </row>
    <row r="81" spans="2:20">
      <c r="S81" s="13" t="str">
        <f>Show!$B$149&amp;Show!$B$149&amp;"SR.26.05.01.04 Table label {"&amp;COLUMN($C$1)&amp;"}"</f>
        <v>!!SR.26.05.01.04 Table label {3}</v>
      </c>
      <c r="T81" s="13" t="str">
        <f>Show!$B$149&amp;Show!$B$149&amp;"SR.26.05.01.04 Table value {"&amp;COLUMN($D$1)&amp;"}"</f>
        <v>!!SR.26.05.01.04 Table value {4}</v>
      </c>
    </row>
    <row r="83" spans="2:20">
      <c r="D83" s="89" t="s">
        <v>2877</v>
      </c>
    </row>
    <row r="84" spans="2:20">
      <c r="D84" s="91"/>
    </row>
    <row r="85" spans="2:20">
      <c r="D85" s="55" t="s">
        <v>4643</v>
      </c>
    </row>
    <row r="86" spans="2:20">
      <c r="D86" s="45" t="s">
        <v>3479</v>
      </c>
      <c r="S86" s="13" t="str">
        <f>Show!$B$149&amp;"SR.26.05.01.04 Rows {"&amp;COLUMN($C$1)&amp;"}"&amp;"@ForceFilingCode:true"</f>
        <v>!SR.26.05.01.04 Rows {3}@ForceFilingCode:true</v>
      </c>
      <c r="T86" s="13" t="str">
        <f>Show!$B$149&amp;"SR.26.05.01.04 Columns {"&amp;COLUMN($D$1)&amp;"}"</f>
        <v>!SR.26.05.01.04 Columns {4}</v>
      </c>
    </row>
    <row r="87" spans="2:20">
      <c r="B87" s="43" t="s">
        <v>2880</v>
      </c>
      <c r="C87" s="44" t="s">
        <v>2878</v>
      </c>
      <c r="D87" s="46"/>
    </row>
    <row r="88" spans="2:20">
      <c r="B88" s="47" t="s">
        <v>5004</v>
      </c>
      <c r="C88" s="41" t="s">
        <v>2977</v>
      </c>
      <c r="D88" s="60"/>
    </row>
    <row r="89" spans="2:20">
      <c r="B89" s="47" t="s">
        <v>5005</v>
      </c>
      <c r="C89" s="41" t="s">
        <v>2997</v>
      </c>
      <c r="D89" s="60"/>
    </row>
    <row r="90" spans="2:20">
      <c r="B90" s="47" t="s">
        <v>5006</v>
      </c>
      <c r="C90" s="41" t="s">
        <v>3064</v>
      </c>
      <c r="D90" s="60"/>
    </row>
    <row r="92" spans="2:20">
      <c r="S92" s="13" t="str">
        <f>Show!$B$149&amp;Show!$B$149&amp;"SR.26.05.01.04 Rows {"&amp;COLUMN($C$1)&amp;"}"</f>
        <v>!!SR.26.05.01.04 Rows {3}</v>
      </c>
      <c r="T92" s="13" t="str">
        <f>Show!$B$149&amp;Show!$B$149&amp;"SR.26.05.01.04 Columns {"&amp;COLUMN($D$1)&amp;"}"</f>
        <v>!!SR.26.05.01.04 Columns {4}</v>
      </c>
    </row>
    <row r="94" spans="2:20" ht="18.75">
      <c r="B94" s="88" t="s">
        <v>5020</v>
      </c>
      <c r="C94" s="87"/>
      <c r="D94" s="87"/>
      <c r="E94" s="87"/>
      <c r="F94" s="87"/>
      <c r="G94" s="87"/>
      <c r="H94" s="87"/>
      <c r="I94" s="87"/>
      <c r="J94" s="87"/>
      <c r="K94" s="87"/>
      <c r="L94" s="87"/>
    </row>
    <row r="96" spans="2:20">
      <c r="B96" t="s">
        <v>3110</v>
      </c>
      <c r="S96" s="13" t="str">
        <f>Show!$B$149&amp;"SR.26.05.01.05 Table label {"&amp;COLUMN($C$1)&amp;"}"</f>
        <v>!SR.26.05.01.05 Table label {3}</v>
      </c>
      <c r="T96" s="13" t="str">
        <f>Show!$B$149&amp;"SR.26.05.01.05 Table value {"&amp;COLUMN($D$1)&amp;"}"</f>
        <v>!SR.26.05.01.05 Table value {4}</v>
      </c>
    </row>
    <row r="97" spans="2:20">
      <c r="B97" t="s">
        <v>3111</v>
      </c>
    </row>
    <row r="98" spans="2:20">
      <c r="B98" s="40" t="s">
        <v>4622</v>
      </c>
      <c r="C98" s="53" t="s">
        <v>3113</v>
      </c>
      <c r="D98" s="51"/>
    </row>
    <row r="99" spans="2:20">
      <c r="B99" s="40" t="s">
        <v>3788</v>
      </c>
      <c r="C99" s="53" t="s">
        <v>3115</v>
      </c>
      <c r="D99" s="51"/>
    </row>
    <row r="100" spans="2:20">
      <c r="B100" s="40" t="s">
        <v>3114</v>
      </c>
      <c r="C100" s="53" t="s">
        <v>3323</v>
      </c>
      <c r="D100" s="50"/>
    </row>
    <row r="101" spans="2:20">
      <c r="S101" s="13" t="str">
        <f>Show!$B$149&amp;Show!$B$149&amp;"SR.26.05.01.05 Table label {"&amp;COLUMN($C$1)&amp;"}"</f>
        <v>!!SR.26.05.01.05 Table label {3}</v>
      </c>
      <c r="T101" s="13" t="str">
        <f>Show!$B$149&amp;Show!$B$149&amp;"SR.26.05.01.05 Table value {"&amp;COLUMN($D$1)&amp;"}"</f>
        <v>!!SR.26.05.01.05 Table value {4}</v>
      </c>
    </row>
    <row r="103" spans="2:20">
      <c r="D103" s="89" t="s">
        <v>2877</v>
      </c>
    </row>
    <row r="104" spans="2:20">
      <c r="D104" s="91"/>
    </row>
    <row r="105" spans="2:20">
      <c r="D105" s="55" t="s">
        <v>2574</v>
      </c>
    </row>
    <row r="106" spans="2:20">
      <c r="D106" s="45" t="s">
        <v>2879</v>
      </c>
      <c r="S106" s="13" t="str">
        <f>Show!$B$149&amp;"SR.26.05.01.05 Rows {"&amp;COLUMN($C$1)&amp;"}"&amp;"@ForceFilingCode:true"</f>
        <v>!SR.26.05.01.05 Rows {3}@ForceFilingCode:true</v>
      </c>
      <c r="T106" s="13" t="str">
        <f>Show!$B$149&amp;"SR.26.05.01.05 Columns {"&amp;COLUMN($D$1)&amp;"}"</f>
        <v>!SR.26.05.01.05 Columns {4}</v>
      </c>
    </row>
    <row r="107" spans="2:20">
      <c r="B107" s="43" t="s">
        <v>2880</v>
      </c>
      <c r="C107" s="44" t="s">
        <v>2878</v>
      </c>
      <c r="D107" s="46"/>
    </row>
    <row r="108" spans="2:20">
      <c r="B108" s="47" t="s">
        <v>5008</v>
      </c>
      <c r="C108" s="41" t="s">
        <v>2883</v>
      </c>
      <c r="D108" s="51"/>
    </row>
    <row r="109" spans="2:20">
      <c r="B109" s="47" t="s">
        <v>5009</v>
      </c>
      <c r="C109" s="41" t="s">
        <v>5010</v>
      </c>
      <c r="D109" s="51"/>
    </row>
    <row r="111" spans="2:20">
      <c r="S111" s="13" t="str">
        <f>Show!$B$149&amp;Show!$B$149&amp;"SR.26.05.01.05 Rows {"&amp;COLUMN($C$1)&amp;"}"</f>
        <v>!!SR.26.05.01.05 Rows {3}</v>
      </c>
      <c r="T111" s="13" t="str">
        <f>Show!$B$149&amp;Show!$B$149&amp;"SR.26.05.01.05 Columns {"&amp;COLUMN($D$1)&amp;"}"</f>
        <v>!!SR.26.05.01.05 Columns {4}</v>
      </c>
    </row>
  </sheetData>
  <sheetProtection sheet="1" objects="1" scenarios="1"/>
  <mergeCells count="15">
    <mergeCell ref="B37:L37"/>
    <mergeCell ref="B2:O2"/>
    <mergeCell ref="B5:L5"/>
    <mergeCell ref="D14:K15"/>
    <mergeCell ref="D16:F16"/>
    <mergeCell ref="H16:K16"/>
    <mergeCell ref="D83:D84"/>
    <mergeCell ref="B94:L94"/>
    <mergeCell ref="D103:D104"/>
    <mergeCell ref="D46:D47"/>
    <mergeCell ref="B55:L55"/>
    <mergeCell ref="D64:H65"/>
    <mergeCell ref="D66:E66"/>
    <mergeCell ref="F66:H66"/>
    <mergeCell ref="B74:L74"/>
  </mergeCells>
  <dataValidations count="5">
    <dataValidation type="list" errorStyle="warning" allowBlank="1" showInputMessage="1" showErrorMessage="1" sqref="D9 D41 D59 D78 D98" xr:uid="{EFE6E9D3-1919-4FC2-B615-A2115A06FE9A}">
      <formula1>hier_AO_1</formula1>
    </dataValidation>
    <dataValidation type="list" errorStyle="warning" allowBlank="1" showInputMessage="1" showErrorMessage="1" sqref="D10 D42 D60 D79 D99" xr:uid="{C7274569-221C-486A-A715-FE6C2C3F2A4B}">
      <formula1>hier_PU_20</formula1>
    </dataValidation>
    <dataValidation type="list" errorStyle="warning" allowBlank="1" showInputMessage="1" showErrorMessage="1" sqref="E20 E21 E22 E23 E24 E25 E26 E27 E28 E29 E30 E31" xr:uid="{AD9F044B-AB09-4D5E-B3EA-28D8132F1B3A}">
      <formula1>hier_AP_12</formula1>
    </dataValidation>
    <dataValidation type="list" errorStyle="warning" allowBlank="1" showInputMessage="1" showErrorMessage="1" sqref="D108" xr:uid="{F78C7107-859E-48A5-95E6-FB7E114303A6}">
      <formula1>hier_AP_17</formula1>
    </dataValidation>
    <dataValidation type="list" errorStyle="warning" allowBlank="1" showInputMessage="1" showErrorMessage="1" sqref="D109" xr:uid="{EF59BC04-B6DA-4BC3-91DE-8A2EB06E597B}">
      <formula1>hier_AP_27</formula1>
    </dataValidation>
  </dataValidations>
  <pageMargins left="0.7" right="0.7" top="0.75" bottom="0.75" header="0.3" footer="0.3"/>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EA749-B390-479A-8BFD-D3BB134DB485}">
  <sheetPr codeName="Blad154"/>
  <dimension ref="B2:O38"/>
  <sheetViews>
    <sheetView showGridLines="0" workbookViewId="0"/>
  </sheetViews>
  <sheetFormatPr defaultRowHeight="15"/>
  <cols>
    <col min="2" max="2" width="85.7109375" customWidth="1"/>
    <col min="4" max="4" width="15.7109375" customWidth="1"/>
  </cols>
  <sheetData>
    <row r="2" spans="2:15" ht="23.25">
      <c r="B2" s="86" t="s">
        <v>734</v>
      </c>
      <c r="C2" s="87"/>
      <c r="D2" s="87"/>
      <c r="E2" s="87"/>
      <c r="F2" s="87"/>
      <c r="G2" s="87"/>
      <c r="H2" s="87"/>
      <c r="I2" s="87"/>
      <c r="J2" s="87"/>
      <c r="K2" s="87"/>
      <c r="L2" s="87"/>
      <c r="M2" s="87"/>
      <c r="N2" s="87"/>
      <c r="O2" s="87"/>
    </row>
    <row r="5" spans="2:15" ht="18.75">
      <c r="B5" s="88" t="s">
        <v>5021</v>
      </c>
      <c r="C5" s="87"/>
      <c r="D5" s="87"/>
      <c r="E5" s="87"/>
      <c r="F5" s="87"/>
      <c r="G5" s="87"/>
      <c r="H5" s="87"/>
      <c r="I5" s="87"/>
      <c r="J5" s="87"/>
      <c r="K5" s="87"/>
      <c r="L5" s="87"/>
    </row>
    <row r="7" spans="2:15">
      <c r="B7" t="s">
        <v>3110</v>
      </c>
      <c r="I7" s="13" t="str">
        <f>Show!$B$150&amp;"S.26.06.01.01 Table label {"&amp;COLUMN($C$1)&amp;"}"</f>
        <v>!S.26.06.01.01 Table label {3}</v>
      </c>
      <c r="J7" s="13" t="str">
        <f>Show!$B$150&amp;"S.26.06.01.01 Table value {"&amp;COLUMN($D$1)&amp;"}"</f>
        <v>!S.26.06.01.01 Table value {4}</v>
      </c>
    </row>
    <row r="8" spans="2:15">
      <c r="B8" t="s">
        <v>3111</v>
      </c>
    </row>
    <row r="9" spans="2:15">
      <c r="B9" s="40" t="s">
        <v>4622</v>
      </c>
      <c r="C9" s="53" t="s">
        <v>3113</v>
      </c>
      <c r="D9" s="51"/>
    </row>
    <row r="10" spans="2:15">
      <c r="I10" s="13" t="str">
        <f>Show!$B$150&amp;Show!$B$150&amp;"S.26.06.01.01 Table label {"&amp;COLUMN($C$1)&amp;"}"</f>
        <v>!!S.26.06.01.01 Table label {3}</v>
      </c>
      <c r="J10" s="13" t="str">
        <f>Show!$B$150&amp;Show!$B$150&amp;"S.26.06.01.01 Table value {"&amp;COLUMN($D$1)&amp;"}"</f>
        <v>!!S.26.06.01.01 Table value {4}</v>
      </c>
    </row>
    <row r="12" spans="2:15">
      <c r="D12" s="89" t="s">
        <v>2877</v>
      </c>
    </row>
    <row r="13" spans="2:15">
      <c r="D13" s="91"/>
    </row>
    <row r="14" spans="2:15">
      <c r="D14" s="89" t="s">
        <v>5022</v>
      </c>
    </row>
    <row r="15" spans="2:15">
      <c r="D15" s="91"/>
    </row>
    <row r="16" spans="2:15">
      <c r="D16" s="45" t="s">
        <v>3219</v>
      </c>
      <c r="I16" s="13" t="str">
        <f>Show!$B$150&amp;"S.26.06.01.01 Rows {"&amp;COLUMN($C$1)&amp;"}"&amp;"@ForceFilingCode:true"</f>
        <v>!S.26.06.01.01 Rows {3}@ForceFilingCode:true</v>
      </c>
      <c r="J16" s="13" t="str">
        <f>Show!$B$150&amp;"S.26.06.01.01 Columns {"&amp;COLUMN($D$1)&amp;"}"</f>
        <v>!S.26.06.01.01 Columns {4}</v>
      </c>
    </row>
    <row r="17" spans="2:4">
      <c r="B17" s="43" t="s">
        <v>2880</v>
      </c>
      <c r="C17" s="44" t="s">
        <v>2878</v>
      </c>
      <c r="D17" s="48"/>
    </row>
    <row r="18" spans="2:4">
      <c r="B18" s="47" t="s">
        <v>5023</v>
      </c>
      <c r="C18" s="44" t="s">
        <v>2878</v>
      </c>
      <c r="D18" s="46"/>
    </row>
    <row r="19" spans="2:4" ht="30">
      <c r="B19" s="49" t="s">
        <v>5024</v>
      </c>
      <c r="C19" s="41" t="s">
        <v>2899</v>
      </c>
      <c r="D19" s="60"/>
    </row>
    <row r="20" spans="2:4">
      <c r="B20" s="49" t="s">
        <v>5025</v>
      </c>
      <c r="C20" s="41" t="s">
        <v>2901</v>
      </c>
      <c r="D20" s="60"/>
    </row>
    <row r="21" spans="2:4">
      <c r="B21" s="49" t="s">
        <v>5026</v>
      </c>
      <c r="C21" s="41" t="s">
        <v>2903</v>
      </c>
      <c r="D21" s="60"/>
    </row>
    <row r="22" spans="2:4">
      <c r="B22" s="47" t="s">
        <v>5027</v>
      </c>
      <c r="C22" s="41" t="s">
        <v>2905</v>
      </c>
      <c r="D22" s="63"/>
    </row>
    <row r="23" spans="2:4">
      <c r="B23" s="47" t="s">
        <v>5028</v>
      </c>
      <c r="C23" s="44" t="s">
        <v>2878</v>
      </c>
      <c r="D23" s="46"/>
    </row>
    <row r="24" spans="2:4" ht="30">
      <c r="B24" s="49" t="s">
        <v>5029</v>
      </c>
      <c r="C24" s="41" t="s">
        <v>2919</v>
      </c>
      <c r="D24" s="60"/>
    </row>
    <row r="25" spans="2:4">
      <c r="B25" s="49" t="s">
        <v>5030</v>
      </c>
      <c r="C25" s="41" t="s">
        <v>2921</v>
      </c>
      <c r="D25" s="60"/>
    </row>
    <row r="26" spans="2:4">
      <c r="B26" s="49" t="s">
        <v>5031</v>
      </c>
      <c r="C26" s="41" t="s">
        <v>2923</v>
      </c>
      <c r="D26" s="60"/>
    </row>
    <row r="27" spans="2:4" ht="30">
      <c r="B27" s="49" t="s">
        <v>5032</v>
      </c>
      <c r="C27" s="41" t="s">
        <v>2925</v>
      </c>
      <c r="D27" s="60"/>
    </row>
    <row r="28" spans="2:4">
      <c r="B28" s="49" t="s">
        <v>5033</v>
      </c>
      <c r="C28" s="41" t="s">
        <v>2927</v>
      </c>
      <c r="D28" s="60"/>
    </row>
    <row r="29" spans="2:4">
      <c r="B29" s="49" t="s">
        <v>5034</v>
      </c>
      <c r="C29" s="41" t="s">
        <v>2929</v>
      </c>
      <c r="D29" s="60"/>
    </row>
    <row r="30" spans="2:4">
      <c r="B30" s="47" t="s">
        <v>5035</v>
      </c>
      <c r="C30" s="41" t="s">
        <v>2931</v>
      </c>
      <c r="D30" s="63"/>
    </row>
    <row r="31" spans="2:4">
      <c r="B31" s="47" t="s">
        <v>5036</v>
      </c>
      <c r="C31" s="44" t="s">
        <v>2878</v>
      </c>
      <c r="D31" s="46"/>
    </row>
    <row r="32" spans="2:4">
      <c r="B32" s="49" t="s">
        <v>5037</v>
      </c>
      <c r="C32" s="41" t="s">
        <v>2939</v>
      </c>
      <c r="D32" s="60"/>
    </row>
    <row r="33" spans="2:10">
      <c r="B33" s="49" t="s">
        <v>5038</v>
      </c>
      <c r="C33" s="41" t="s">
        <v>2941</v>
      </c>
      <c r="D33" s="60"/>
    </row>
    <row r="34" spans="2:10">
      <c r="B34" s="49" t="s">
        <v>5039</v>
      </c>
      <c r="C34" s="41" t="s">
        <v>2943</v>
      </c>
      <c r="D34" s="60"/>
    </row>
    <row r="35" spans="2:10">
      <c r="B35" s="49" t="s">
        <v>5040</v>
      </c>
      <c r="C35" s="41" t="s">
        <v>2945</v>
      </c>
      <c r="D35" s="60"/>
    </row>
    <row r="36" spans="2:10">
      <c r="B36" s="47" t="s">
        <v>5041</v>
      </c>
      <c r="C36" s="41" t="s">
        <v>2947</v>
      </c>
      <c r="D36" s="60"/>
    </row>
    <row r="38" spans="2:10">
      <c r="I38" s="13" t="str">
        <f>Show!$B$150&amp;Show!$B$150&amp;"S.26.06.01.01 Rows {"&amp;COLUMN($C$1)&amp;"}"</f>
        <v>!!S.26.06.01.01 Rows {3}</v>
      </c>
      <c r="J38" s="13" t="str">
        <f>Show!$B$150&amp;Show!$B$150&amp;"S.26.06.01.01 Columns {"&amp;COLUMN($D$1)&amp;"}"</f>
        <v>!!S.26.06.01.01 Columns {4}</v>
      </c>
    </row>
  </sheetData>
  <sheetProtection sheet="1" objects="1" scenarios="1"/>
  <mergeCells count="4">
    <mergeCell ref="B2:O2"/>
    <mergeCell ref="B5:L5"/>
    <mergeCell ref="D12:D13"/>
    <mergeCell ref="D14:D15"/>
  </mergeCells>
  <dataValidations count="1">
    <dataValidation type="list" errorStyle="warning" allowBlank="1" showInputMessage="1" showErrorMessage="1" sqref="D9" xr:uid="{D8277D2D-F2CC-4023-AB21-2165D06A4CBF}">
      <formula1>hier_AO_1</formula1>
    </dataValidation>
  </dataValidations>
  <pageMargins left="0.7" right="0.7" top="0.75" bottom="0.75" header="0.3" footer="0.3"/>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4F3B3-991E-4768-AFFD-B10275EBE1C8}">
  <sheetPr codeName="Blad155"/>
  <dimension ref="B2:O38"/>
  <sheetViews>
    <sheetView showGridLines="0" workbookViewId="0"/>
  </sheetViews>
  <sheetFormatPr defaultRowHeight="15"/>
  <cols>
    <col min="2" max="2" width="85.7109375" customWidth="1"/>
    <col min="4" max="4" width="15.7109375" customWidth="1"/>
  </cols>
  <sheetData>
    <row r="2" spans="2:15" ht="23.25">
      <c r="B2" s="86" t="s">
        <v>734</v>
      </c>
      <c r="C2" s="87"/>
      <c r="D2" s="87"/>
      <c r="E2" s="87"/>
      <c r="F2" s="87"/>
      <c r="G2" s="87"/>
      <c r="H2" s="87"/>
      <c r="I2" s="87"/>
      <c r="J2" s="87"/>
      <c r="K2" s="87"/>
      <c r="L2" s="87"/>
      <c r="M2" s="87"/>
      <c r="N2" s="87"/>
      <c r="O2" s="87"/>
    </row>
    <row r="5" spans="2:15" ht="18.75">
      <c r="B5" s="88" t="s">
        <v>5042</v>
      </c>
      <c r="C5" s="87"/>
      <c r="D5" s="87"/>
      <c r="E5" s="87"/>
      <c r="F5" s="87"/>
      <c r="G5" s="87"/>
      <c r="H5" s="87"/>
      <c r="I5" s="87"/>
      <c r="J5" s="87"/>
      <c r="K5" s="87"/>
      <c r="L5" s="87"/>
    </row>
    <row r="7" spans="2:15">
      <c r="B7" t="s">
        <v>3110</v>
      </c>
      <c r="I7" s="13" t="str">
        <f>Show!$B$151&amp;"S.26.06.04.01 Table label {"&amp;COLUMN($C$1)&amp;"}"</f>
        <v>!S.26.06.04.01 Table label {3}</v>
      </c>
      <c r="J7" s="13" t="str">
        <f>Show!$B$151&amp;"S.26.06.04.01 Table value {"&amp;COLUMN($D$1)&amp;"}"</f>
        <v>!S.26.06.04.01 Table value {4}</v>
      </c>
    </row>
    <row r="8" spans="2:15">
      <c r="B8" t="s">
        <v>3111</v>
      </c>
    </row>
    <row r="9" spans="2:15">
      <c r="B9" s="40" t="s">
        <v>4622</v>
      </c>
      <c r="C9" s="53" t="s">
        <v>3113</v>
      </c>
      <c r="D9" s="51"/>
    </row>
    <row r="10" spans="2:15">
      <c r="I10" s="13" t="str">
        <f>Show!$B$151&amp;Show!$B$151&amp;"S.26.06.04.01 Table label {"&amp;COLUMN($C$1)&amp;"}"</f>
        <v>!!S.26.06.04.01 Table label {3}</v>
      </c>
      <c r="J10" s="13" t="str">
        <f>Show!$B$151&amp;Show!$B$151&amp;"S.26.06.04.01 Table value {"&amp;COLUMN($D$1)&amp;"}"</f>
        <v>!!S.26.06.04.01 Table value {4}</v>
      </c>
    </row>
    <row r="12" spans="2:15">
      <c r="D12" s="89" t="s">
        <v>2877</v>
      </c>
    </row>
    <row r="13" spans="2:15">
      <c r="D13" s="91"/>
    </row>
    <row r="14" spans="2:15">
      <c r="D14" s="89" t="s">
        <v>5022</v>
      </c>
    </row>
    <row r="15" spans="2:15">
      <c r="D15" s="91"/>
    </row>
    <row r="16" spans="2:15">
      <c r="D16" s="45" t="s">
        <v>3219</v>
      </c>
      <c r="I16" s="13" t="str">
        <f>Show!$B$151&amp;"S.26.06.04.01 Rows {"&amp;COLUMN($C$1)&amp;"}"&amp;"@ForceFilingCode:true"</f>
        <v>!S.26.06.04.01 Rows {3}@ForceFilingCode:true</v>
      </c>
      <c r="J16" s="13" t="str">
        <f>Show!$B$151&amp;"S.26.06.04.01 Columns {"&amp;COLUMN($D$1)&amp;"}"</f>
        <v>!S.26.06.04.01 Columns {4}</v>
      </c>
    </row>
    <row r="17" spans="2:4">
      <c r="B17" s="43" t="s">
        <v>2880</v>
      </c>
      <c r="C17" s="44" t="s">
        <v>2878</v>
      </c>
      <c r="D17" s="48"/>
    </row>
    <row r="18" spans="2:4">
      <c r="B18" s="47" t="s">
        <v>5023</v>
      </c>
      <c r="C18" s="44" t="s">
        <v>2878</v>
      </c>
      <c r="D18" s="46"/>
    </row>
    <row r="19" spans="2:4" ht="30">
      <c r="B19" s="49" t="s">
        <v>5024</v>
      </c>
      <c r="C19" s="41" t="s">
        <v>2899</v>
      </c>
      <c r="D19" s="60"/>
    </row>
    <row r="20" spans="2:4">
      <c r="B20" s="49" t="s">
        <v>5025</v>
      </c>
      <c r="C20" s="41" t="s">
        <v>2901</v>
      </c>
      <c r="D20" s="60"/>
    </row>
    <row r="21" spans="2:4">
      <c r="B21" s="49" t="s">
        <v>5026</v>
      </c>
      <c r="C21" s="41" t="s">
        <v>2903</v>
      </c>
      <c r="D21" s="60"/>
    </row>
    <row r="22" spans="2:4">
      <c r="B22" s="47" t="s">
        <v>5027</v>
      </c>
      <c r="C22" s="41" t="s">
        <v>2905</v>
      </c>
      <c r="D22" s="63"/>
    </row>
    <row r="23" spans="2:4">
      <c r="B23" s="47" t="s">
        <v>5028</v>
      </c>
      <c r="C23" s="44" t="s">
        <v>2878</v>
      </c>
      <c r="D23" s="46"/>
    </row>
    <row r="24" spans="2:4" ht="30">
      <c r="B24" s="49" t="s">
        <v>5029</v>
      </c>
      <c r="C24" s="41" t="s">
        <v>2919</v>
      </c>
      <c r="D24" s="60"/>
    </row>
    <row r="25" spans="2:4">
      <c r="B25" s="49" t="s">
        <v>5030</v>
      </c>
      <c r="C25" s="41" t="s">
        <v>2921</v>
      </c>
      <c r="D25" s="60"/>
    </row>
    <row r="26" spans="2:4">
      <c r="B26" s="49" t="s">
        <v>5031</v>
      </c>
      <c r="C26" s="41" t="s">
        <v>2923</v>
      </c>
      <c r="D26" s="60"/>
    </row>
    <row r="27" spans="2:4" ht="30">
      <c r="B27" s="49" t="s">
        <v>5032</v>
      </c>
      <c r="C27" s="41" t="s">
        <v>2925</v>
      </c>
      <c r="D27" s="60"/>
    </row>
    <row r="28" spans="2:4">
      <c r="B28" s="49" t="s">
        <v>5033</v>
      </c>
      <c r="C28" s="41" t="s">
        <v>2927</v>
      </c>
      <c r="D28" s="60"/>
    </row>
    <row r="29" spans="2:4">
      <c r="B29" s="49" t="s">
        <v>5034</v>
      </c>
      <c r="C29" s="41" t="s">
        <v>2929</v>
      </c>
      <c r="D29" s="60"/>
    </row>
    <row r="30" spans="2:4">
      <c r="B30" s="47" t="s">
        <v>5035</v>
      </c>
      <c r="C30" s="41" t="s">
        <v>2931</v>
      </c>
      <c r="D30" s="63"/>
    </row>
    <row r="31" spans="2:4">
      <c r="B31" s="47" t="s">
        <v>5036</v>
      </c>
      <c r="C31" s="44" t="s">
        <v>2878</v>
      </c>
      <c r="D31" s="46"/>
    </row>
    <row r="32" spans="2:4">
      <c r="B32" s="49" t="s">
        <v>5037</v>
      </c>
      <c r="C32" s="41" t="s">
        <v>2939</v>
      </c>
      <c r="D32" s="60"/>
    </row>
    <row r="33" spans="2:10">
      <c r="B33" s="49" t="s">
        <v>5038</v>
      </c>
      <c r="C33" s="41" t="s">
        <v>2941</v>
      </c>
      <c r="D33" s="60"/>
    </row>
    <row r="34" spans="2:10">
      <c r="B34" s="49" t="s">
        <v>5039</v>
      </c>
      <c r="C34" s="41" t="s">
        <v>2943</v>
      </c>
      <c r="D34" s="60"/>
    </row>
    <row r="35" spans="2:10">
      <c r="B35" s="49" t="s">
        <v>5040</v>
      </c>
      <c r="C35" s="41" t="s">
        <v>2945</v>
      </c>
      <c r="D35" s="60"/>
    </row>
    <row r="36" spans="2:10">
      <c r="B36" s="47" t="s">
        <v>5041</v>
      </c>
      <c r="C36" s="41" t="s">
        <v>2947</v>
      </c>
      <c r="D36" s="60"/>
    </row>
    <row r="38" spans="2:10">
      <c r="I38" s="13" t="str">
        <f>Show!$B$151&amp;Show!$B$151&amp;"S.26.06.04.01 Rows {"&amp;COLUMN($C$1)&amp;"}"</f>
        <v>!!S.26.06.04.01 Rows {3}</v>
      </c>
      <c r="J38" s="13" t="str">
        <f>Show!$B$151&amp;Show!$B$151&amp;"S.26.06.04.01 Columns {"&amp;COLUMN($D$1)&amp;"}"</f>
        <v>!!S.26.06.04.01 Columns {4}</v>
      </c>
    </row>
  </sheetData>
  <sheetProtection sheet="1" objects="1" scenarios="1"/>
  <mergeCells count="4">
    <mergeCell ref="B2:O2"/>
    <mergeCell ref="B5:L5"/>
    <mergeCell ref="D12:D13"/>
    <mergeCell ref="D14:D15"/>
  </mergeCells>
  <dataValidations count="1">
    <dataValidation type="list" errorStyle="warning" allowBlank="1" showInputMessage="1" showErrorMessage="1" sqref="D9" xr:uid="{8FFC5549-2F76-4182-9F7B-E85F4BD0D6AD}">
      <formula1>hier_AO_1</formula1>
    </dataValidation>
  </dataValidations>
  <pageMargins left="0.7" right="0.7" top="0.75" bottom="0.75" header="0.3" footer="0.3"/>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29EB3-5F7D-4F18-B54F-8132315FDD05}">
  <sheetPr codeName="Blad156"/>
  <dimension ref="B2:O40"/>
  <sheetViews>
    <sheetView showGridLines="0" workbookViewId="0"/>
  </sheetViews>
  <sheetFormatPr defaultRowHeight="15"/>
  <cols>
    <col min="2" max="2" width="85.7109375" customWidth="1"/>
    <col min="4" max="4" width="15.7109375" customWidth="1"/>
  </cols>
  <sheetData>
    <row r="2" spans="2:15" ht="23.25">
      <c r="B2" s="86" t="s">
        <v>734</v>
      </c>
      <c r="C2" s="87"/>
      <c r="D2" s="87"/>
      <c r="E2" s="87"/>
      <c r="F2" s="87"/>
      <c r="G2" s="87"/>
      <c r="H2" s="87"/>
      <c r="I2" s="87"/>
      <c r="J2" s="87"/>
      <c r="K2" s="87"/>
      <c r="L2" s="87"/>
      <c r="M2" s="87"/>
      <c r="N2" s="87"/>
      <c r="O2" s="87"/>
    </row>
    <row r="5" spans="2:15" ht="18.75">
      <c r="B5" s="88" t="s">
        <v>5043</v>
      </c>
      <c r="C5" s="87"/>
      <c r="D5" s="87"/>
      <c r="E5" s="87"/>
      <c r="F5" s="87"/>
      <c r="G5" s="87"/>
      <c r="H5" s="87"/>
      <c r="I5" s="87"/>
      <c r="J5" s="87"/>
      <c r="K5" s="87"/>
      <c r="L5" s="87"/>
    </row>
    <row r="7" spans="2:15">
      <c r="B7" t="s">
        <v>3110</v>
      </c>
      <c r="I7" s="13" t="str">
        <f>Show!$B$152&amp;"SR.26.06.01.01 Table label {"&amp;COLUMN($C$1)&amp;"}"</f>
        <v>!SR.26.06.01.01 Table label {3}</v>
      </c>
      <c r="J7" s="13" t="str">
        <f>Show!$B$152&amp;"SR.26.06.01.01 Table value {"&amp;COLUMN($D$1)&amp;"}"</f>
        <v>!SR.26.06.01.01 Table value {4}</v>
      </c>
    </row>
    <row r="8" spans="2:15">
      <c r="B8" t="s">
        <v>3111</v>
      </c>
    </row>
    <row r="9" spans="2:15">
      <c r="B9" s="40" t="s">
        <v>4622</v>
      </c>
      <c r="C9" s="53" t="s">
        <v>3113</v>
      </c>
      <c r="D9" s="51"/>
    </row>
    <row r="10" spans="2:15">
      <c r="B10" s="40" t="s">
        <v>3788</v>
      </c>
      <c r="C10" s="53" t="s">
        <v>3115</v>
      </c>
      <c r="D10" s="51"/>
    </row>
    <row r="11" spans="2:15">
      <c r="B11" s="40" t="s">
        <v>3114</v>
      </c>
      <c r="C11" s="53" t="s">
        <v>3323</v>
      </c>
      <c r="D11" s="50"/>
    </row>
    <row r="12" spans="2:15">
      <c r="I12" s="13" t="str">
        <f>Show!$B$152&amp;Show!$B$152&amp;"SR.26.06.01.01 Table label {"&amp;COLUMN($C$1)&amp;"}"</f>
        <v>!!SR.26.06.01.01 Table label {3}</v>
      </c>
      <c r="J12" s="13" t="str">
        <f>Show!$B$152&amp;Show!$B$152&amp;"SR.26.06.01.01 Table value {"&amp;COLUMN($D$1)&amp;"}"</f>
        <v>!!SR.26.06.01.01 Table value {4}</v>
      </c>
    </row>
    <row r="14" spans="2:15">
      <c r="D14" s="89" t="s">
        <v>2877</v>
      </c>
    </row>
    <row r="15" spans="2:15">
      <c r="D15" s="91"/>
    </row>
    <row r="16" spans="2:15">
      <c r="D16" s="89" t="s">
        <v>5022</v>
      </c>
    </row>
    <row r="17" spans="2:10">
      <c r="D17" s="91"/>
    </row>
    <row r="18" spans="2:10">
      <c r="D18" s="45" t="s">
        <v>3219</v>
      </c>
      <c r="I18" s="13" t="str">
        <f>Show!$B$152&amp;"SR.26.06.01.01 Rows {"&amp;COLUMN($C$1)&amp;"}"&amp;"@ForceFilingCode:true"</f>
        <v>!SR.26.06.01.01 Rows {3}@ForceFilingCode:true</v>
      </c>
      <c r="J18" s="13" t="str">
        <f>Show!$B$152&amp;"SR.26.06.01.01 Columns {"&amp;COLUMN($D$1)&amp;"}"</f>
        <v>!SR.26.06.01.01 Columns {4}</v>
      </c>
    </row>
    <row r="19" spans="2:10">
      <c r="B19" s="43" t="s">
        <v>2880</v>
      </c>
      <c r="C19" s="44" t="s">
        <v>2878</v>
      </c>
      <c r="D19" s="48"/>
    </row>
    <row r="20" spans="2:10">
      <c r="B20" s="47" t="s">
        <v>5023</v>
      </c>
      <c r="C20" s="44" t="s">
        <v>2878</v>
      </c>
      <c r="D20" s="46"/>
    </row>
    <row r="21" spans="2:10" ht="30">
      <c r="B21" s="49" t="s">
        <v>5024</v>
      </c>
      <c r="C21" s="41" t="s">
        <v>2899</v>
      </c>
      <c r="D21" s="60"/>
    </row>
    <row r="22" spans="2:10">
      <c r="B22" s="49" t="s">
        <v>5025</v>
      </c>
      <c r="C22" s="41" t="s">
        <v>2901</v>
      </c>
      <c r="D22" s="60"/>
    </row>
    <row r="23" spans="2:10">
      <c r="B23" s="49" t="s">
        <v>5026</v>
      </c>
      <c r="C23" s="41" t="s">
        <v>2903</v>
      </c>
      <c r="D23" s="60"/>
    </row>
    <row r="24" spans="2:10">
      <c r="B24" s="47" t="s">
        <v>5027</v>
      </c>
      <c r="C24" s="41" t="s">
        <v>2905</v>
      </c>
      <c r="D24" s="63"/>
    </row>
    <row r="25" spans="2:10">
      <c r="B25" s="47" t="s">
        <v>5028</v>
      </c>
      <c r="C25" s="44" t="s">
        <v>2878</v>
      </c>
      <c r="D25" s="46"/>
    </row>
    <row r="26" spans="2:10" ht="30">
      <c r="B26" s="49" t="s">
        <v>5029</v>
      </c>
      <c r="C26" s="41" t="s">
        <v>2919</v>
      </c>
      <c r="D26" s="60"/>
    </row>
    <row r="27" spans="2:10">
      <c r="B27" s="49" t="s">
        <v>5030</v>
      </c>
      <c r="C27" s="41" t="s">
        <v>2921</v>
      </c>
      <c r="D27" s="60"/>
    </row>
    <row r="28" spans="2:10">
      <c r="B28" s="49" t="s">
        <v>5031</v>
      </c>
      <c r="C28" s="41" t="s">
        <v>2923</v>
      </c>
      <c r="D28" s="60"/>
    </row>
    <row r="29" spans="2:10" ht="30">
      <c r="B29" s="49" t="s">
        <v>5032</v>
      </c>
      <c r="C29" s="41" t="s">
        <v>2925</v>
      </c>
      <c r="D29" s="60"/>
    </row>
    <row r="30" spans="2:10">
      <c r="B30" s="49" t="s">
        <v>5033</v>
      </c>
      <c r="C30" s="41" t="s">
        <v>2927</v>
      </c>
      <c r="D30" s="60"/>
    </row>
    <row r="31" spans="2:10">
      <c r="B31" s="49" t="s">
        <v>5034</v>
      </c>
      <c r="C31" s="41" t="s">
        <v>2929</v>
      </c>
      <c r="D31" s="60"/>
    </row>
    <row r="32" spans="2:10">
      <c r="B32" s="47" t="s">
        <v>5035</v>
      </c>
      <c r="C32" s="41" t="s">
        <v>2931</v>
      </c>
      <c r="D32" s="63"/>
    </row>
    <row r="33" spans="2:10">
      <c r="B33" s="47" t="s">
        <v>5036</v>
      </c>
      <c r="C33" s="44" t="s">
        <v>2878</v>
      </c>
      <c r="D33" s="46"/>
    </row>
    <row r="34" spans="2:10">
      <c r="B34" s="49" t="s">
        <v>5037</v>
      </c>
      <c r="C34" s="41" t="s">
        <v>2939</v>
      </c>
      <c r="D34" s="60"/>
    </row>
    <row r="35" spans="2:10">
      <c r="B35" s="49" t="s">
        <v>5038</v>
      </c>
      <c r="C35" s="41" t="s">
        <v>2941</v>
      </c>
      <c r="D35" s="60"/>
    </row>
    <row r="36" spans="2:10">
      <c r="B36" s="49" t="s">
        <v>5039</v>
      </c>
      <c r="C36" s="41" t="s">
        <v>2943</v>
      </c>
      <c r="D36" s="60"/>
    </row>
    <row r="37" spans="2:10">
      <c r="B37" s="49" t="s">
        <v>5040</v>
      </c>
      <c r="C37" s="41" t="s">
        <v>2945</v>
      </c>
      <c r="D37" s="60"/>
    </row>
    <row r="38" spans="2:10">
      <c r="B38" s="47" t="s">
        <v>5041</v>
      </c>
      <c r="C38" s="41" t="s">
        <v>2947</v>
      </c>
      <c r="D38" s="60"/>
    </row>
    <row r="40" spans="2:10">
      <c r="I40" s="13" t="str">
        <f>Show!$B$152&amp;Show!$B$152&amp;"SR.26.06.01.01 Rows {"&amp;COLUMN($C$1)&amp;"}"</f>
        <v>!!SR.26.06.01.01 Rows {3}</v>
      </c>
      <c r="J40" s="13" t="str">
        <f>Show!$B$152&amp;Show!$B$152&amp;"SR.26.06.01.01 Columns {"&amp;COLUMN($D$1)&amp;"}"</f>
        <v>!!SR.26.06.01.01 Columns {4}</v>
      </c>
    </row>
  </sheetData>
  <sheetProtection sheet="1" objects="1" scenarios="1"/>
  <mergeCells count="4">
    <mergeCell ref="B2:O2"/>
    <mergeCell ref="B5:L5"/>
    <mergeCell ref="D14:D15"/>
    <mergeCell ref="D16:D17"/>
  </mergeCells>
  <dataValidations count="2">
    <dataValidation type="list" errorStyle="warning" allowBlank="1" showInputMessage="1" showErrorMessage="1" sqref="D9" xr:uid="{3410288E-D4B2-45E1-A977-49526D9B3C45}">
      <formula1>hier_AO_1</formula1>
    </dataValidation>
    <dataValidation type="list" errorStyle="warning" allowBlank="1" showInputMessage="1" showErrorMessage="1" sqref="D10" xr:uid="{8DB37606-CE49-49B6-AE33-A2DC9EAAA197}">
      <formula1>hier_PU_20</formula1>
    </dataValidation>
  </dataValidations>
  <pageMargins left="0.7" right="0.7" top="0.75" bottom="0.75" header="0.3" footer="0.3"/>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2DE99-50AE-457B-9A1D-089E5F93901D}">
  <sheetPr codeName="Blad157"/>
  <dimension ref="B2:T124"/>
  <sheetViews>
    <sheetView showGridLines="0" workbookViewId="0"/>
  </sheetViews>
  <sheetFormatPr defaultRowHeight="15"/>
  <cols>
    <col min="2" max="2" width="58.42578125" bestFit="1" customWidth="1"/>
    <col min="4" max="14" width="15.7109375" customWidth="1"/>
  </cols>
  <sheetData>
    <row r="2" spans="2:20" ht="23.25">
      <c r="B2" s="86" t="s">
        <v>738</v>
      </c>
      <c r="C2" s="87"/>
      <c r="D2" s="87"/>
      <c r="E2" s="87"/>
      <c r="F2" s="87"/>
      <c r="G2" s="87"/>
      <c r="H2" s="87"/>
      <c r="I2" s="87"/>
      <c r="J2" s="87"/>
      <c r="K2" s="87"/>
      <c r="L2" s="87"/>
      <c r="M2" s="87"/>
      <c r="N2" s="87"/>
      <c r="O2" s="87"/>
    </row>
    <row r="5" spans="2:20" ht="18.75">
      <c r="B5" s="88" t="s">
        <v>5044</v>
      </c>
      <c r="C5" s="87"/>
      <c r="D5" s="87"/>
      <c r="E5" s="87"/>
      <c r="F5" s="87"/>
      <c r="G5" s="87"/>
      <c r="H5" s="87"/>
      <c r="I5" s="87"/>
      <c r="J5" s="87"/>
      <c r="K5" s="87"/>
      <c r="L5" s="87"/>
    </row>
    <row r="7" spans="2:20">
      <c r="B7" t="s">
        <v>3110</v>
      </c>
      <c r="S7" s="13" t="str">
        <f>Show!$B$153&amp;"S.26.07.01.01 Table label {"&amp;COLUMN($C$1)&amp;"}"</f>
        <v>!S.26.07.01.01 Table label {3}</v>
      </c>
      <c r="T7" s="13" t="str">
        <f>Show!$B$153&amp;"S.26.07.01.01 Table value {"&amp;COLUMN($D$1)&amp;"}"</f>
        <v>!S.26.07.01.01 Table value {4}</v>
      </c>
    </row>
    <row r="8" spans="2:20">
      <c r="B8" t="s">
        <v>3111</v>
      </c>
    </row>
    <row r="9" spans="2:20">
      <c r="B9" s="40" t="s">
        <v>4622</v>
      </c>
      <c r="C9" s="53" t="s">
        <v>3113</v>
      </c>
      <c r="D9" s="51"/>
    </row>
    <row r="10" spans="2:20">
      <c r="S10" s="13" t="str">
        <f>Show!$B$153&amp;Show!$B$153&amp;"S.26.07.01.01 Table label {"&amp;COLUMN($C$1)&amp;"}"</f>
        <v>!!S.26.07.01.01 Table label {3}</v>
      </c>
      <c r="T10" s="13" t="str">
        <f>Show!$B$153&amp;Show!$B$153&amp;"S.26.07.01.01 Table value {"&amp;COLUMN($D$1)&amp;"}"</f>
        <v>!!S.26.07.01.01 Table value {4}</v>
      </c>
    </row>
    <row r="12" spans="2:20">
      <c r="D12" s="92" t="s">
        <v>2877</v>
      </c>
      <c r="E12" s="93"/>
      <c r="F12" s="93"/>
      <c r="G12" s="93"/>
      <c r="H12" s="93"/>
      <c r="I12" s="93"/>
      <c r="J12" s="93"/>
      <c r="K12" s="94"/>
    </row>
    <row r="13" spans="2:20">
      <c r="D13" s="95"/>
      <c r="E13" s="96"/>
      <c r="F13" s="96"/>
      <c r="G13" s="96"/>
      <c r="H13" s="96"/>
      <c r="I13" s="96"/>
      <c r="J13" s="96"/>
      <c r="K13" s="97"/>
    </row>
    <row r="14" spans="2:20">
      <c r="D14" s="98" t="s">
        <v>3617</v>
      </c>
      <c r="E14" s="100"/>
      <c r="F14" s="100"/>
      <c r="G14" s="100"/>
      <c r="H14" s="100"/>
      <c r="I14" s="100"/>
      <c r="J14" s="100"/>
      <c r="K14" s="99"/>
    </row>
    <row r="15" spans="2:20" ht="30">
      <c r="D15" s="55">
        <v>0</v>
      </c>
      <c r="E15" s="55">
        <v>1</v>
      </c>
      <c r="F15" s="55">
        <v>2</v>
      </c>
      <c r="G15" s="55">
        <v>3</v>
      </c>
      <c r="H15" s="55">
        <v>4</v>
      </c>
      <c r="I15" s="55">
        <v>5</v>
      </c>
      <c r="J15" s="55">
        <v>6</v>
      </c>
      <c r="K15" s="55" t="s">
        <v>2370</v>
      </c>
    </row>
    <row r="16" spans="2:20">
      <c r="D16" s="45" t="s">
        <v>2879</v>
      </c>
      <c r="E16" s="45" t="s">
        <v>3219</v>
      </c>
      <c r="F16" s="45" t="s">
        <v>3225</v>
      </c>
      <c r="G16" s="45" t="s">
        <v>3223</v>
      </c>
      <c r="H16" s="45" t="s">
        <v>3229</v>
      </c>
      <c r="I16" s="45" t="s">
        <v>3231</v>
      </c>
      <c r="J16" s="45" t="s">
        <v>3233</v>
      </c>
      <c r="K16" s="45" t="s">
        <v>3234</v>
      </c>
      <c r="S16" s="13" t="str">
        <f>Show!$B$153&amp;"S.26.07.01.01 Rows {"&amp;COLUMN($C$1)&amp;"}"&amp;"@ForceFilingCode:true"</f>
        <v>!S.26.07.01.01 Rows {3}@ForceFilingCode:true</v>
      </c>
      <c r="T16" s="13" t="str">
        <f>Show!$B$153&amp;"S.26.07.01.01 Columns {"&amp;COLUMN($D$1)&amp;"}"</f>
        <v>!S.26.07.01.01 Columns {4}</v>
      </c>
    </row>
    <row r="17" spans="2:20">
      <c r="B17" s="43" t="s">
        <v>2880</v>
      </c>
      <c r="C17" s="44" t="s">
        <v>2878</v>
      </c>
      <c r="D17" s="56"/>
      <c r="E17" s="66"/>
      <c r="F17" s="66"/>
      <c r="G17" s="66"/>
      <c r="H17" s="66"/>
      <c r="I17" s="66"/>
      <c r="J17" s="66"/>
      <c r="K17" s="57"/>
    </row>
    <row r="18" spans="2:20">
      <c r="B18" s="47" t="s">
        <v>5045</v>
      </c>
      <c r="C18" s="41" t="s">
        <v>2883</v>
      </c>
      <c r="D18" s="60"/>
      <c r="E18" s="60"/>
      <c r="F18" s="60"/>
      <c r="G18" s="60"/>
      <c r="H18" s="60"/>
      <c r="I18" s="60"/>
      <c r="J18" s="60"/>
      <c r="K18" s="60"/>
    </row>
    <row r="19" spans="2:20">
      <c r="B19" s="47" t="s">
        <v>5046</v>
      </c>
      <c r="C19" s="41" t="s">
        <v>2885</v>
      </c>
      <c r="D19" s="69"/>
      <c r="E19" s="69"/>
      <c r="F19" s="69"/>
      <c r="G19" s="69"/>
      <c r="H19" s="69"/>
      <c r="I19" s="69"/>
      <c r="J19" s="69"/>
      <c r="K19" s="69"/>
    </row>
    <row r="21" spans="2:20">
      <c r="S21" s="13" t="str">
        <f>Show!$B$153&amp;Show!$B$153&amp;"S.26.07.01.01 Rows {"&amp;COLUMN($C$1)&amp;"}"</f>
        <v>!!S.26.07.01.01 Rows {3}</v>
      </c>
      <c r="T21" s="13" t="str">
        <f>Show!$B$153&amp;Show!$B$153&amp;"S.26.07.01.01 Columns {"&amp;COLUMN($K$1)&amp;"}"</f>
        <v>!!S.26.07.01.01 Columns {11}</v>
      </c>
    </row>
    <row r="23" spans="2:20" ht="18.75">
      <c r="B23" s="88" t="s">
        <v>5047</v>
      </c>
      <c r="C23" s="87"/>
      <c r="D23" s="87"/>
      <c r="E23" s="87"/>
      <c r="F23" s="87"/>
      <c r="G23" s="87"/>
      <c r="H23" s="87"/>
      <c r="I23" s="87"/>
      <c r="J23" s="87"/>
      <c r="K23" s="87"/>
      <c r="L23" s="87"/>
    </row>
    <row r="25" spans="2:20">
      <c r="B25" t="s">
        <v>3110</v>
      </c>
      <c r="S25" s="13" t="str">
        <f>Show!$B$153&amp;"S.26.07.01.02 Table label {"&amp;COLUMN($C$1)&amp;"}"</f>
        <v>!S.26.07.01.02 Table label {3}</v>
      </c>
      <c r="T25" s="13" t="str">
        <f>Show!$B$153&amp;"S.26.07.01.02 Table value {"&amp;COLUMN($D$1)&amp;"}"</f>
        <v>!S.26.07.01.02 Table value {4}</v>
      </c>
    </row>
    <row r="26" spans="2:20">
      <c r="B26" t="s">
        <v>3111</v>
      </c>
    </row>
    <row r="27" spans="2:20">
      <c r="B27" s="40" t="s">
        <v>4622</v>
      </c>
      <c r="C27" s="53" t="s">
        <v>3113</v>
      </c>
      <c r="D27" s="51"/>
    </row>
    <row r="28" spans="2:20">
      <c r="S28" s="13" t="str">
        <f>Show!$B$153&amp;Show!$B$153&amp;"S.26.07.01.02 Table label {"&amp;COLUMN($C$1)&amp;"}"</f>
        <v>!!S.26.07.01.02 Table label {3}</v>
      </c>
      <c r="T28" s="13" t="str">
        <f>Show!$B$153&amp;Show!$B$153&amp;"S.26.07.01.02 Table value {"&amp;COLUMN($D$1)&amp;"}"</f>
        <v>!!S.26.07.01.02 Table value {4}</v>
      </c>
    </row>
    <row r="30" spans="2:20">
      <c r="D30" s="89" t="s">
        <v>2877</v>
      </c>
    </row>
    <row r="31" spans="2:20">
      <c r="D31" s="90"/>
    </row>
    <row r="32" spans="2:20">
      <c r="D32" s="91"/>
    </row>
    <row r="33" spans="2:20">
      <c r="D33" s="45" t="s">
        <v>3236</v>
      </c>
      <c r="S33" s="13" t="str">
        <f>Show!$B$153&amp;"S.26.07.01.02 Rows {"&amp;COLUMN($C$1)&amp;"}"&amp;"@ForceFilingCode:true"</f>
        <v>!S.26.07.01.02 Rows {3}@ForceFilingCode:true</v>
      </c>
      <c r="T33" s="13" t="str">
        <f>Show!$B$153&amp;"S.26.07.01.02 Columns {"&amp;COLUMN($D$1)&amp;"}"</f>
        <v>!S.26.07.01.02 Columns {4}</v>
      </c>
    </row>
    <row r="34" spans="2:20">
      <c r="B34" s="43" t="s">
        <v>2880</v>
      </c>
      <c r="C34" s="44" t="s">
        <v>2878</v>
      </c>
      <c r="D34" s="46"/>
    </row>
    <row r="35" spans="2:20">
      <c r="B35" s="47" t="s">
        <v>5048</v>
      </c>
      <c r="C35" s="41" t="s">
        <v>2887</v>
      </c>
      <c r="D35" s="60"/>
    </row>
    <row r="37" spans="2:20">
      <c r="S37" s="13" t="str">
        <f>Show!$B$153&amp;Show!$B$153&amp;"S.26.07.01.02 Rows {"&amp;COLUMN($C$1)&amp;"}"</f>
        <v>!!S.26.07.01.02 Rows {3}</v>
      </c>
      <c r="T37" s="13" t="str">
        <f>Show!$B$153&amp;Show!$B$153&amp;"S.26.07.01.02 Columns {"&amp;COLUMN($D$1)&amp;"}"</f>
        <v>!!S.26.07.01.02 Columns {4}</v>
      </c>
    </row>
    <row r="39" spans="2:20" ht="18.75">
      <c r="B39" s="88" t="s">
        <v>5049</v>
      </c>
      <c r="C39" s="87"/>
      <c r="D39" s="87"/>
      <c r="E39" s="87"/>
      <c r="F39" s="87"/>
      <c r="G39" s="87"/>
      <c r="H39" s="87"/>
      <c r="I39" s="87"/>
      <c r="J39" s="87"/>
      <c r="K39" s="87"/>
      <c r="L39" s="87"/>
    </row>
    <row r="41" spans="2:20">
      <c r="B41" t="s">
        <v>3110</v>
      </c>
      <c r="S41" s="13" t="str">
        <f>Show!$B$153&amp;"S.26.07.01.03 Table label {"&amp;COLUMN($C$1)&amp;"}"</f>
        <v>!S.26.07.01.03 Table label {3}</v>
      </c>
      <c r="T41" s="13" t="str">
        <f>Show!$B$153&amp;"S.26.07.01.03 Table value {"&amp;COLUMN($D$1)&amp;"}"</f>
        <v>!S.26.07.01.03 Table value {4}</v>
      </c>
    </row>
    <row r="42" spans="2:20">
      <c r="B42" t="s">
        <v>3111</v>
      </c>
    </row>
    <row r="43" spans="2:20">
      <c r="B43" s="40" t="s">
        <v>4622</v>
      </c>
      <c r="C43" s="53" t="s">
        <v>3113</v>
      </c>
      <c r="D43" s="51"/>
    </row>
    <row r="44" spans="2:20">
      <c r="B44" s="40" t="s">
        <v>5050</v>
      </c>
      <c r="C44" s="53" t="s">
        <v>3875</v>
      </c>
      <c r="D44" s="51"/>
    </row>
    <row r="45" spans="2:20">
      <c r="S45" s="13" t="str">
        <f>Show!$B$153&amp;Show!$B$153&amp;"S.26.07.01.03 Table label {"&amp;COLUMN($C$1)&amp;"}"</f>
        <v>!!S.26.07.01.03 Table label {3}</v>
      </c>
      <c r="T45" s="13" t="str">
        <f>Show!$B$153&amp;Show!$B$153&amp;"S.26.07.01.03 Table value {"&amp;COLUMN($D$1)&amp;"}"</f>
        <v>!!S.26.07.01.03 Table value {4}</v>
      </c>
    </row>
    <row r="47" spans="2:20">
      <c r="D47" s="92" t="s">
        <v>2877</v>
      </c>
      <c r="E47" s="94"/>
    </row>
    <row r="48" spans="2:20">
      <c r="D48" s="95"/>
      <c r="E48" s="97"/>
    </row>
    <row r="49" spans="2:20">
      <c r="D49" s="98" t="s">
        <v>5022</v>
      </c>
      <c r="E49" s="99"/>
    </row>
    <row r="50" spans="2:20" ht="30">
      <c r="D50" s="55" t="s">
        <v>5051</v>
      </c>
      <c r="E50" s="55" t="s">
        <v>5052</v>
      </c>
    </row>
    <row r="51" spans="2:20">
      <c r="D51" s="45" t="s">
        <v>3239</v>
      </c>
      <c r="E51" s="45" t="s">
        <v>3241</v>
      </c>
      <c r="S51" s="13" t="str">
        <f>Show!$B$153&amp;"S.26.07.01.03 Rows {"&amp;COLUMN($C$1)&amp;"}"&amp;"@ForceFilingCode:true"</f>
        <v>!S.26.07.01.03 Rows {3}@ForceFilingCode:true</v>
      </c>
      <c r="T51" s="13" t="str">
        <f>Show!$B$153&amp;"S.26.07.01.03 Columns {"&amp;COLUMN($D$1)&amp;"}"</f>
        <v>!S.26.07.01.03 Columns {4}</v>
      </c>
    </row>
    <row r="52" spans="2:20">
      <c r="B52" s="43" t="s">
        <v>2880</v>
      </c>
      <c r="C52" s="44" t="s">
        <v>2878</v>
      </c>
      <c r="D52" s="56"/>
      <c r="E52" s="57"/>
    </row>
    <row r="53" spans="2:20">
      <c r="B53" s="47" t="s">
        <v>3606</v>
      </c>
      <c r="C53" s="41" t="s">
        <v>2889</v>
      </c>
      <c r="D53" s="60"/>
      <c r="E53" s="60"/>
    </row>
    <row r="55" spans="2:20">
      <c r="S55" s="13" t="str">
        <f>Show!$B$153&amp;Show!$B$153&amp;"S.26.07.01.03 Rows {"&amp;COLUMN($C$1)&amp;"}"</f>
        <v>!!S.26.07.01.03 Rows {3}</v>
      </c>
      <c r="T55" s="13" t="str">
        <f>Show!$B$153&amp;Show!$B$153&amp;"S.26.07.01.03 Columns {"&amp;COLUMN($E$1)&amp;"}"</f>
        <v>!!S.26.07.01.03 Columns {5}</v>
      </c>
    </row>
    <row r="57" spans="2:20" ht="18.75">
      <c r="B57" s="88" t="s">
        <v>5053</v>
      </c>
      <c r="C57" s="87"/>
      <c r="D57" s="87"/>
      <c r="E57" s="87"/>
      <c r="F57" s="87"/>
      <c r="G57" s="87"/>
      <c r="H57" s="87"/>
      <c r="I57" s="87"/>
      <c r="J57" s="87"/>
      <c r="K57" s="87"/>
      <c r="L57" s="87"/>
    </row>
    <row r="59" spans="2:20">
      <c r="B59" t="s">
        <v>3110</v>
      </c>
      <c r="S59" s="13" t="str">
        <f>Show!$B$153&amp;"S.26.07.01.04 Table label {"&amp;COLUMN($C$1)&amp;"}"</f>
        <v>!S.26.07.01.04 Table label {3}</v>
      </c>
      <c r="T59" s="13" t="str">
        <f>Show!$B$153&amp;"S.26.07.01.04 Table value {"&amp;COLUMN($D$1)&amp;"}"</f>
        <v>!S.26.07.01.04 Table value {4}</v>
      </c>
    </row>
    <row r="60" spans="2:20">
      <c r="B60" t="s">
        <v>3111</v>
      </c>
    </row>
    <row r="61" spans="2:20">
      <c r="B61" s="40" t="s">
        <v>4622</v>
      </c>
      <c r="C61" s="53" t="s">
        <v>3113</v>
      </c>
      <c r="D61" s="51"/>
    </row>
    <row r="62" spans="2:20">
      <c r="S62" s="13" t="str">
        <f>Show!$B$153&amp;Show!$B$153&amp;"S.26.07.01.04 Table label {"&amp;COLUMN($C$1)&amp;"}"</f>
        <v>!!S.26.07.01.04 Table label {3}</v>
      </c>
      <c r="T62" s="13" t="str">
        <f>Show!$B$153&amp;Show!$B$153&amp;"S.26.07.01.04 Table value {"&amp;COLUMN($D$1)&amp;"}"</f>
        <v>!!S.26.07.01.04 Table value {4}</v>
      </c>
    </row>
    <row r="64" spans="2:20">
      <c r="D64" s="92" t="s">
        <v>2877</v>
      </c>
      <c r="E64" s="93"/>
      <c r="F64" s="93"/>
      <c r="G64" s="93"/>
      <c r="H64" s="93"/>
      <c r="I64" s="93"/>
      <c r="J64" s="93"/>
      <c r="K64" s="93"/>
      <c r="L64" s="93"/>
      <c r="M64" s="93"/>
      <c r="N64" s="94"/>
    </row>
    <row r="65" spans="2:20">
      <c r="D65" s="95"/>
      <c r="E65" s="96"/>
      <c r="F65" s="96"/>
      <c r="G65" s="96"/>
      <c r="H65" s="96"/>
      <c r="I65" s="96"/>
      <c r="J65" s="96"/>
      <c r="K65" s="96"/>
      <c r="L65" s="96"/>
      <c r="M65" s="96"/>
      <c r="N65" s="97"/>
    </row>
    <row r="66" spans="2:20">
      <c r="D66" s="89" t="s">
        <v>5054</v>
      </c>
      <c r="E66" s="89" t="s">
        <v>5055</v>
      </c>
      <c r="F66" s="89" t="s">
        <v>5056</v>
      </c>
      <c r="G66" s="89" t="s">
        <v>3292</v>
      </c>
      <c r="H66" s="89" t="s">
        <v>5057</v>
      </c>
      <c r="I66" s="89" t="s">
        <v>5058</v>
      </c>
      <c r="J66" s="89" t="s">
        <v>5046</v>
      </c>
      <c r="K66" s="89" t="s">
        <v>5059</v>
      </c>
      <c r="L66" s="89" t="s">
        <v>5060</v>
      </c>
      <c r="M66" s="89" t="s">
        <v>5061</v>
      </c>
      <c r="N66" s="89" t="s">
        <v>5062</v>
      </c>
    </row>
    <row r="67" spans="2:20">
      <c r="D67" s="91"/>
      <c r="E67" s="91"/>
      <c r="F67" s="91"/>
      <c r="G67" s="91"/>
      <c r="H67" s="91"/>
      <c r="I67" s="91"/>
      <c r="J67" s="91"/>
      <c r="K67" s="91"/>
      <c r="L67" s="91"/>
      <c r="M67" s="91"/>
      <c r="N67" s="91"/>
    </row>
    <row r="68" spans="2:20">
      <c r="D68" s="45" t="s">
        <v>3243</v>
      </c>
      <c r="E68" s="45" t="s">
        <v>3375</v>
      </c>
      <c r="F68" s="45" t="s">
        <v>3475</v>
      </c>
      <c r="G68" s="45" t="s">
        <v>3477</v>
      </c>
      <c r="H68" s="45" t="s">
        <v>3479</v>
      </c>
      <c r="I68" s="45" t="s">
        <v>3594</v>
      </c>
      <c r="J68" s="45" t="s">
        <v>3596</v>
      </c>
      <c r="K68" s="45" t="s">
        <v>3599</v>
      </c>
      <c r="L68" s="45" t="s">
        <v>3481</v>
      </c>
      <c r="M68" s="45" t="s">
        <v>3508</v>
      </c>
      <c r="N68" s="45" t="s">
        <v>3509</v>
      </c>
      <c r="S68" s="13" t="str">
        <f>Show!$B$153&amp;"S.26.07.01.04 Rows {"&amp;COLUMN($C$1)&amp;"}"&amp;"@ForceFilingCode:true"</f>
        <v>!S.26.07.01.04 Rows {3}@ForceFilingCode:true</v>
      </c>
      <c r="T68" s="13" t="str">
        <f>Show!$B$153&amp;"S.26.07.01.04 Columns {"&amp;COLUMN($D$1)&amp;"}"</f>
        <v>!S.26.07.01.04 Columns {4}</v>
      </c>
    </row>
    <row r="69" spans="2:20">
      <c r="B69" s="43" t="s">
        <v>2880</v>
      </c>
      <c r="C69" s="44" t="s">
        <v>2878</v>
      </c>
      <c r="D69" s="56"/>
      <c r="E69" s="67"/>
      <c r="F69" s="67"/>
      <c r="G69" s="67"/>
      <c r="H69" s="66"/>
      <c r="I69" s="67"/>
      <c r="J69" s="66"/>
      <c r="K69" s="67"/>
      <c r="L69" s="67"/>
      <c r="M69" s="67"/>
      <c r="N69" s="59"/>
    </row>
    <row r="70" spans="2:20">
      <c r="B70" s="47" t="s">
        <v>4879</v>
      </c>
      <c r="C70" s="41" t="s">
        <v>2899</v>
      </c>
      <c r="D70" s="65"/>
      <c r="E70" s="58"/>
      <c r="F70" s="58"/>
      <c r="G70" s="46"/>
      <c r="H70" s="71"/>
      <c r="I70" s="48"/>
      <c r="J70" s="79"/>
      <c r="K70" s="58"/>
      <c r="L70" s="58"/>
      <c r="M70" s="58"/>
      <c r="N70" s="48"/>
    </row>
    <row r="71" spans="2:20">
      <c r="B71" s="47" t="s">
        <v>4880</v>
      </c>
      <c r="C71" s="44" t="s">
        <v>2901</v>
      </c>
      <c r="D71" s="56"/>
      <c r="E71" s="56"/>
      <c r="F71" s="48"/>
      <c r="G71" s="60"/>
      <c r="H71" s="71"/>
      <c r="I71" s="46"/>
      <c r="J71" s="79"/>
      <c r="K71" s="58"/>
      <c r="L71" s="56"/>
      <c r="M71" s="58"/>
      <c r="N71" s="48"/>
    </row>
    <row r="72" spans="2:20">
      <c r="B72" s="47" t="s">
        <v>4881</v>
      </c>
      <c r="C72" s="41" t="s">
        <v>2903</v>
      </c>
      <c r="D72" s="63"/>
      <c r="E72" s="65"/>
      <c r="F72" s="48"/>
      <c r="G72" s="63"/>
      <c r="H72" s="76"/>
      <c r="I72" s="76"/>
      <c r="J72" s="80"/>
      <c r="K72" s="48"/>
      <c r="L72" s="78"/>
      <c r="M72" s="58"/>
      <c r="N72" s="48"/>
    </row>
    <row r="73" spans="2:20">
      <c r="B73" s="47" t="s">
        <v>4882</v>
      </c>
      <c r="C73" s="44" t="s">
        <v>2878</v>
      </c>
      <c r="D73" s="58"/>
      <c r="E73" s="67"/>
      <c r="F73" s="66"/>
      <c r="G73" s="67"/>
      <c r="H73" s="66"/>
      <c r="I73" s="67"/>
      <c r="J73" s="67"/>
      <c r="K73" s="66"/>
      <c r="L73" s="67"/>
      <c r="M73" s="67"/>
      <c r="N73" s="59"/>
    </row>
    <row r="74" spans="2:20">
      <c r="B74" s="49" t="s">
        <v>5063</v>
      </c>
      <c r="C74" s="44" t="s">
        <v>2905</v>
      </c>
      <c r="D74" s="58"/>
      <c r="E74" s="48"/>
      <c r="F74" s="64"/>
      <c r="G74" s="48"/>
      <c r="H74" s="71"/>
      <c r="I74" s="58"/>
      <c r="J74" s="48"/>
      <c r="K74" s="79"/>
      <c r="L74" s="58"/>
      <c r="M74" s="58"/>
      <c r="N74" s="48"/>
    </row>
    <row r="75" spans="2:20">
      <c r="B75" s="49" t="s">
        <v>5064</v>
      </c>
      <c r="C75" s="44" t="s">
        <v>2907</v>
      </c>
      <c r="D75" s="58"/>
      <c r="E75" s="48"/>
      <c r="F75" s="65"/>
      <c r="G75" s="48"/>
      <c r="H75" s="78"/>
      <c r="I75" s="58"/>
      <c r="J75" s="46"/>
      <c r="K75" s="80"/>
      <c r="L75" s="58"/>
      <c r="M75" s="56"/>
      <c r="N75" s="46"/>
    </row>
    <row r="76" spans="2:20">
      <c r="B76" s="47" t="s">
        <v>4886</v>
      </c>
      <c r="C76" s="44" t="s">
        <v>2909</v>
      </c>
      <c r="D76" s="56"/>
      <c r="E76" s="58"/>
      <c r="F76" s="58"/>
      <c r="G76" s="58"/>
      <c r="H76" s="58"/>
      <c r="I76" s="48"/>
      <c r="J76" s="80"/>
      <c r="K76" s="58"/>
      <c r="L76" s="48"/>
      <c r="M76" s="63"/>
      <c r="N76" s="76"/>
    </row>
    <row r="77" spans="2:20">
      <c r="B77" s="47" t="s">
        <v>4888</v>
      </c>
      <c r="C77" s="41" t="s">
        <v>2911</v>
      </c>
      <c r="D77" s="65"/>
      <c r="E77" s="58"/>
      <c r="F77" s="58"/>
      <c r="G77" s="58"/>
      <c r="H77" s="58"/>
      <c r="I77" s="58"/>
      <c r="J77" s="58"/>
      <c r="K77" s="58"/>
      <c r="L77" s="58"/>
      <c r="M77" s="58"/>
      <c r="N77" s="48"/>
    </row>
    <row r="78" spans="2:20">
      <c r="B78" s="47" t="s">
        <v>4629</v>
      </c>
      <c r="C78" s="44" t="s">
        <v>2878</v>
      </c>
      <c r="D78" s="56"/>
      <c r="E78" s="67"/>
      <c r="F78" s="67"/>
      <c r="G78" s="67"/>
      <c r="H78" s="66"/>
      <c r="I78" s="67"/>
      <c r="J78" s="66"/>
      <c r="K78" s="67"/>
      <c r="L78" s="67"/>
      <c r="M78" s="67"/>
      <c r="N78" s="59"/>
    </row>
    <row r="79" spans="2:20">
      <c r="B79" s="49" t="s">
        <v>4910</v>
      </c>
      <c r="C79" s="41" t="s">
        <v>2919</v>
      </c>
      <c r="D79" s="65"/>
      <c r="E79" s="58"/>
      <c r="F79" s="58"/>
      <c r="G79" s="46"/>
      <c r="H79" s="71"/>
      <c r="I79" s="48"/>
      <c r="J79" s="79"/>
      <c r="K79" s="58"/>
      <c r="L79" s="58"/>
      <c r="M79" s="58"/>
      <c r="N79" s="48"/>
    </row>
    <row r="80" spans="2:20">
      <c r="B80" s="49" t="s">
        <v>4911</v>
      </c>
      <c r="C80" s="44" t="s">
        <v>2921</v>
      </c>
      <c r="D80" s="58"/>
      <c r="E80" s="58"/>
      <c r="F80" s="48"/>
      <c r="G80" s="63"/>
      <c r="H80" s="78"/>
      <c r="I80" s="48"/>
      <c r="J80" s="79"/>
      <c r="K80" s="58"/>
      <c r="L80" s="58"/>
      <c r="M80" s="56"/>
      <c r="N80" s="46"/>
    </row>
    <row r="81" spans="2:20">
      <c r="B81" s="49" t="s">
        <v>5065</v>
      </c>
      <c r="C81" s="44" t="s">
        <v>2923</v>
      </c>
      <c r="D81" s="56"/>
      <c r="E81" s="56"/>
      <c r="F81" s="58"/>
      <c r="G81" s="56"/>
      <c r="H81" s="56"/>
      <c r="I81" s="46"/>
      <c r="J81" s="79"/>
      <c r="K81" s="58"/>
      <c r="L81" s="46"/>
      <c r="M81" s="63"/>
      <c r="N81" s="76"/>
    </row>
    <row r="82" spans="2:20">
      <c r="B82" s="49" t="s">
        <v>5066</v>
      </c>
      <c r="C82" s="41" t="s">
        <v>2925</v>
      </c>
      <c r="D82" s="63"/>
      <c r="E82" s="65"/>
      <c r="F82" s="48"/>
      <c r="G82" s="63"/>
      <c r="H82" s="76"/>
      <c r="I82" s="76"/>
      <c r="J82" s="80"/>
      <c r="K82" s="48"/>
      <c r="L82" s="78"/>
      <c r="M82" s="58"/>
      <c r="N82" s="48"/>
    </row>
    <row r="83" spans="2:20">
      <c r="B83" s="47" t="s">
        <v>5067</v>
      </c>
      <c r="C83" s="44" t="s">
        <v>2878</v>
      </c>
      <c r="D83" s="58"/>
      <c r="E83" s="67"/>
      <c r="F83" s="66"/>
      <c r="G83" s="67"/>
      <c r="H83" s="66"/>
      <c r="I83" s="67"/>
      <c r="J83" s="67"/>
      <c r="K83" s="66"/>
      <c r="L83" s="67"/>
      <c r="M83" s="67"/>
      <c r="N83" s="59"/>
    </row>
    <row r="84" spans="2:20">
      <c r="B84" s="49" t="s">
        <v>5063</v>
      </c>
      <c r="C84" s="44" t="s">
        <v>2927</v>
      </c>
      <c r="D84" s="58"/>
      <c r="E84" s="48"/>
      <c r="F84" s="64"/>
      <c r="G84" s="48"/>
      <c r="H84" s="71"/>
      <c r="I84" s="58"/>
      <c r="J84" s="48"/>
      <c r="K84" s="79"/>
      <c r="L84" s="58"/>
      <c r="M84" s="58"/>
      <c r="N84" s="48"/>
    </row>
    <row r="85" spans="2:20">
      <c r="B85" s="49" t="s">
        <v>5064</v>
      </c>
      <c r="C85" s="44" t="s">
        <v>2929</v>
      </c>
      <c r="D85" s="58"/>
      <c r="E85" s="48"/>
      <c r="F85" s="65"/>
      <c r="G85" s="48"/>
      <c r="H85" s="78"/>
      <c r="I85" s="58"/>
      <c r="J85" s="46"/>
      <c r="K85" s="80"/>
      <c r="L85" s="58"/>
      <c r="M85" s="56"/>
      <c r="N85" s="46"/>
    </row>
    <row r="86" spans="2:20">
      <c r="B86" s="47" t="s">
        <v>4918</v>
      </c>
      <c r="C86" s="44" t="s">
        <v>2931</v>
      </c>
      <c r="D86" s="56"/>
      <c r="E86" s="56"/>
      <c r="F86" s="56"/>
      <c r="G86" s="56"/>
      <c r="H86" s="56"/>
      <c r="I86" s="46"/>
      <c r="J86" s="79"/>
      <c r="K86" s="56"/>
      <c r="L86" s="46"/>
      <c r="M86" s="60"/>
      <c r="N86" s="70"/>
    </row>
    <row r="88" spans="2:20">
      <c r="S88" s="13" t="str">
        <f>Show!$B$153&amp;Show!$B$153&amp;"S.26.07.01.04 Rows {"&amp;COLUMN($C$1)&amp;"}"</f>
        <v>!!S.26.07.01.04 Rows {3}</v>
      </c>
      <c r="T88" s="13" t="str">
        <f>Show!$B$153&amp;Show!$B$153&amp;"S.26.07.01.04 Columns {"&amp;COLUMN($N$1)&amp;"}"</f>
        <v>!!S.26.07.01.04 Columns {14}</v>
      </c>
    </row>
    <row r="90" spans="2:20" ht="18.75">
      <c r="B90" s="88" t="s">
        <v>5068</v>
      </c>
      <c r="C90" s="87"/>
      <c r="D90" s="87"/>
      <c r="E90" s="87"/>
      <c r="F90" s="87"/>
      <c r="G90" s="87"/>
      <c r="H90" s="87"/>
      <c r="I90" s="87"/>
      <c r="J90" s="87"/>
      <c r="K90" s="87"/>
      <c r="L90" s="87"/>
    </row>
    <row r="92" spans="2:20">
      <c r="B92" t="s">
        <v>3110</v>
      </c>
      <c r="S92" s="13" t="str">
        <f>Show!$B$153&amp;"S.26.07.01.05 Table label {"&amp;COLUMN($C$1)&amp;"}"</f>
        <v>!S.26.07.01.05 Table label {3}</v>
      </c>
      <c r="T92" s="13" t="str">
        <f>Show!$B$153&amp;"S.26.07.01.05 Table value {"&amp;COLUMN($D$1)&amp;"}"</f>
        <v>!S.26.07.01.05 Table value {4}</v>
      </c>
    </row>
    <row r="93" spans="2:20">
      <c r="B93" t="s">
        <v>3111</v>
      </c>
    </row>
    <row r="94" spans="2:20">
      <c r="B94" s="40" t="s">
        <v>4622</v>
      </c>
      <c r="C94" s="53" t="s">
        <v>3113</v>
      </c>
      <c r="D94" s="51"/>
    </row>
    <row r="95" spans="2:20">
      <c r="S95" s="13" t="str">
        <f>Show!$B$153&amp;Show!$B$153&amp;"S.26.07.01.05 Table label {"&amp;COLUMN($C$1)&amp;"}"</f>
        <v>!!S.26.07.01.05 Table label {3}</v>
      </c>
      <c r="T95" s="13" t="str">
        <f>Show!$B$153&amp;Show!$B$153&amp;"S.26.07.01.05 Table value {"&amp;COLUMN($D$1)&amp;"}"</f>
        <v>!!S.26.07.01.05 Table value {4}</v>
      </c>
    </row>
    <row r="97" spans="2:20">
      <c r="D97" s="89" t="s">
        <v>2877</v>
      </c>
    </row>
    <row r="98" spans="2:20">
      <c r="D98" s="90"/>
    </row>
    <row r="99" spans="2:20">
      <c r="D99" s="91"/>
    </row>
    <row r="100" spans="2:20">
      <c r="D100" s="45" t="s">
        <v>3519</v>
      </c>
      <c r="S100" s="13" t="str">
        <f>Show!$B$153&amp;"S.26.07.01.05 Rows {"&amp;COLUMN($C$1)&amp;"}"&amp;"@ForceFilingCode:true"</f>
        <v>!S.26.07.01.05 Rows {3}@ForceFilingCode:true</v>
      </c>
      <c r="T100" s="13" t="str">
        <f>Show!$B$153&amp;"S.26.07.01.05 Columns {"&amp;COLUMN($D$1)&amp;"}"</f>
        <v>!S.26.07.01.05 Columns {4}</v>
      </c>
    </row>
    <row r="101" spans="2:20">
      <c r="B101" s="43" t="s">
        <v>2880</v>
      </c>
      <c r="C101" s="44" t="s">
        <v>2878</v>
      </c>
      <c r="D101" s="46"/>
    </row>
    <row r="102" spans="2:20">
      <c r="B102" s="47" t="s">
        <v>5069</v>
      </c>
      <c r="C102" s="41" t="s">
        <v>2939</v>
      </c>
      <c r="D102" s="60"/>
    </row>
    <row r="104" spans="2:20">
      <c r="S104" s="13" t="str">
        <f>Show!$B$153&amp;Show!$B$153&amp;"S.26.07.01.05 Rows {"&amp;COLUMN($C$1)&amp;"}"</f>
        <v>!!S.26.07.01.05 Rows {3}</v>
      </c>
      <c r="T104" s="13" t="str">
        <f>Show!$B$153&amp;Show!$B$153&amp;"S.26.07.01.05 Columns {"&amp;COLUMN($D$1)&amp;"}"</f>
        <v>!!S.26.07.01.05 Columns {4}</v>
      </c>
    </row>
    <row r="106" spans="2:20" ht="18.75">
      <c r="B106" s="88" t="s">
        <v>5070</v>
      </c>
      <c r="C106" s="87"/>
      <c r="D106" s="87"/>
      <c r="E106" s="87"/>
      <c r="F106" s="87"/>
      <c r="G106" s="87"/>
      <c r="H106" s="87"/>
      <c r="I106" s="87"/>
      <c r="J106" s="87"/>
      <c r="K106" s="87"/>
      <c r="L106" s="87"/>
    </row>
    <row r="108" spans="2:20">
      <c r="B108" t="s">
        <v>3110</v>
      </c>
      <c r="S108" s="13" t="str">
        <f>Show!$B$153&amp;"S.26.07.01.06 Table label {"&amp;COLUMN($C$1)&amp;"}"</f>
        <v>!S.26.07.01.06 Table label {3}</v>
      </c>
      <c r="T108" s="13" t="str">
        <f>Show!$B$153&amp;"S.26.07.01.06 Table value {"&amp;COLUMN($D$1)&amp;"}"</f>
        <v>!S.26.07.01.06 Table value {4}</v>
      </c>
    </row>
    <row r="109" spans="2:20">
      <c r="B109" t="s">
        <v>3111</v>
      </c>
    </row>
    <row r="110" spans="2:20">
      <c r="B110" s="40" t="s">
        <v>4622</v>
      </c>
      <c r="C110" s="53" t="s">
        <v>3113</v>
      </c>
      <c r="D110" s="51"/>
    </row>
    <row r="111" spans="2:20">
      <c r="S111" s="13" t="str">
        <f>Show!$B$153&amp;Show!$B$153&amp;"S.26.07.01.06 Table label {"&amp;COLUMN($C$1)&amp;"}"</f>
        <v>!!S.26.07.01.06 Table label {3}</v>
      </c>
      <c r="T111" s="13" t="str">
        <f>Show!$B$153&amp;Show!$B$153&amp;"S.26.07.01.06 Table value {"&amp;COLUMN($D$1)&amp;"}"</f>
        <v>!!S.26.07.01.06 Table value {4}</v>
      </c>
    </row>
    <row r="113" spans="2:20">
      <c r="D113" s="92" t="s">
        <v>2877</v>
      </c>
      <c r="E113" s="94"/>
    </row>
    <row r="114" spans="2:20">
      <c r="D114" s="95"/>
      <c r="E114" s="97"/>
    </row>
    <row r="115" spans="2:20" ht="30">
      <c r="D115" s="55" t="s">
        <v>5071</v>
      </c>
      <c r="E115" s="55" t="s">
        <v>5072</v>
      </c>
    </row>
    <row r="116" spans="2:20">
      <c r="D116" s="45" t="s">
        <v>3614</v>
      </c>
      <c r="E116" s="45" t="s">
        <v>3616</v>
      </c>
      <c r="S116" s="13" t="str">
        <f>Show!$B$153&amp;"S.26.07.01.06 Rows {"&amp;COLUMN($C$1)&amp;"}"&amp;"@ForceFilingCode:true"</f>
        <v>!S.26.07.01.06 Rows {3}@ForceFilingCode:true</v>
      </c>
      <c r="T116" s="13" t="str">
        <f>Show!$B$153&amp;"S.26.07.01.06 Columns {"&amp;COLUMN($D$1)&amp;"}"</f>
        <v>!S.26.07.01.06 Columns {4}</v>
      </c>
    </row>
    <row r="117" spans="2:20">
      <c r="B117" s="43" t="s">
        <v>2880</v>
      </c>
      <c r="C117" s="44" t="s">
        <v>2878</v>
      </c>
      <c r="D117" s="56"/>
      <c r="E117" s="57"/>
    </row>
    <row r="118" spans="2:20">
      <c r="B118" s="47" t="s">
        <v>5073</v>
      </c>
      <c r="C118" s="41" t="s">
        <v>2959</v>
      </c>
      <c r="D118" s="70"/>
      <c r="E118" s="60"/>
    </row>
    <row r="119" spans="2:20">
      <c r="B119" s="47" t="s">
        <v>5074</v>
      </c>
      <c r="C119" s="41" t="s">
        <v>2961</v>
      </c>
      <c r="D119" s="70"/>
      <c r="E119" s="60"/>
    </row>
    <row r="120" spans="2:20">
      <c r="B120" s="47" t="s">
        <v>5075</v>
      </c>
      <c r="C120" s="41" t="s">
        <v>2963</v>
      </c>
      <c r="D120" s="70"/>
      <c r="E120" s="60"/>
    </row>
    <row r="121" spans="2:20">
      <c r="B121" s="47" t="s">
        <v>5076</v>
      </c>
      <c r="C121" s="41" t="s">
        <v>2965</v>
      </c>
      <c r="D121" s="70"/>
      <c r="E121" s="60"/>
    </row>
    <row r="122" spans="2:20">
      <c r="B122" s="47" t="s">
        <v>5077</v>
      </c>
      <c r="C122" s="41" t="s">
        <v>2967</v>
      </c>
      <c r="D122" s="70"/>
      <c r="E122" s="60"/>
    </row>
    <row r="124" spans="2:20">
      <c r="S124" s="13" t="str">
        <f>Show!$B$153&amp;Show!$B$153&amp;"S.26.07.01.06 Rows {"&amp;COLUMN($C$1)&amp;"}"</f>
        <v>!!S.26.07.01.06 Rows {3}</v>
      </c>
      <c r="T124" s="13" t="str">
        <f>Show!$B$153&amp;Show!$B$153&amp;"S.26.07.01.06 Columns {"&amp;COLUMN($E$1)&amp;"}"</f>
        <v>!!S.26.07.01.06 Columns {5}</v>
      </c>
    </row>
  </sheetData>
  <sheetProtection sheet="1" objects="1" scenarios="1"/>
  <mergeCells count="26">
    <mergeCell ref="D30:D32"/>
    <mergeCell ref="B2:O2"/>
    <mergeCell ref="B5:L5"/>
    <mergeCell ref="D12:K13"/>
    <mergeCell ref="D14:K14"/>
    <mergeCell ref="B23:L23"/>
    <mergeCell ref="M66:M67"/>
    <mergeCell ref="N66:N67"/>
    <mergeCell ref="B39:L39"/>
    <mergeCell ref="D47:E48"/>
    <mergeCell ref="D49:E49"/>
    <mergeCell ref="B57:L57"/>
    <mergeCell ref="D64:N65"/>
    <mergeCell ref="D66:D67"/>
    <mergeCell ref="E66:E67"/>
    <mergeCell ref="F66:F67"/>
    <mergeCell ref="G66:G67"/>
    <mergeCell ref="H66:H67"/>
    <mergeCell ref="B90:L90"/>
    <mergeCell ref="D97:D99"/>
    <mergeCell ref="B106:L106"/>
    <mergeCell ref="D113:E114"/>
    <mergeCell ref="I66:I67"/>
    <mergeCell ref="J66:J67"/>
    <mergeCell ref="K66:K67"/>
    <mergeCell ref="L66:L67"/>
  </mergeCells>
  <dataValidations count="2">
    <dataValidation type="list" errorStyle="warning" allowBlank="1" showInputMessage="1" showErrorMessage="1" sqref="D9 D27 D43 D61 D94 D110" xr:uid="{BF2FC123-E4F1-42BD-913F-29829AA3E0B7}">
      <formula1>hier_AO_1</formula1>
    </dataValidation>
    <dataValidation type="list" errorStyle="warning" allowBlank="1" showInputMessage="1" showErrorMessage="1" sqref="D44" xr:uid="{A0B614CA-0D0D-4B1E-96DB-7915A65DD9AA}">
      <formula1>hier_CU_5</formula1>
    </dataValidation>
  </dataValidations>
  <pageMargins left="0.7" right="0.7" top="0.75" bottom="0.75" header="0.3" footer="0.3"/>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57779-BA58-43FA-AE93-639AED78E558}">
  <sheetPr codeName="Blad158"/>
  <dimension ref="B2:T124"/>
  <sheetViews>
    <sheetView showGridLines="0" workbookViewId="0"/>
  </sheetViews>
  <sheetFormatPr defaultRowHeight="15"/>
  <cols>
    <col min="2" max="2" width="58.42578125" bestFit="1" customWidth="1"/>
    <col min="4" max="14" width="15.7109375" customWidth="1"/>
  </cols>
  <sheetData>
    <row r="2" spans="2:20" ht="23.25">
      <c r="B2" s="86" t="s">
        <v>738</v>
      </c>
      <c r="C2" s="87"/>
      <c r="D2" s="87"/>
      <c r="E2" s="87"/>
      <c r="F2" s="87"/>
      <c r="G2" s="87"/>
      <c r="H2" s="87"/>
      <c r="I2" s="87"/>
      <c r="J2" s="87"/>
      <c r="K2" s="87"/>
      <c r="L2" s="87"/>
      <c r="M2" s="87"/>
      <c r="N2" s="87"/>
      <c r="O2" s="87"/>
    </row>
    <row r="5" spans="2:20" ht="18.75">
      <c r="B5" s="88" t="s">
        <v>5078</v>
      </c>
      <c r="C5" s="87"/>
      <c r="D5" s="87"/>
      <c r="E5" s="87"/>
      <c r="F5" s="87"/>
      <c r="G5" s="87"/>
      <c r="H5" s="87"/>
      <c r="I5" s="87"/>
      <c r="J5" s="87"/>
      <c r="K5" s="87"/>
      <c r="L5" s="87"/>
    </row>
    <row r="7" spans="2:20">
      <c r="B7" t="s">
        <v>3110</v>
      </c>
      <c r="S7" s="13" t="str">
        <f>Show!$B$154&amp;"S.26.07.04.01 Table label {"&amp;COLUMN($C$1)&amp;"}"</f>
        <v>!S.26.07.04.01 Table label {3}</v>
      </c>
      <c r="T7" s="13" t="str">
        <f>Show!$B$154&amp;"S.26.07.04.01 Table value {"&amp;COLUMN($D$1)&amp;"}"</f>
        <v>!S.26.07.04.01 Table value {4}</v>
      </c>
    </row>
    <row r="8" spans="2:20">
      <c r="B8" t="s">
        <v>3111</v>
      </c>
    </row>
    <row r="9" spans="2:20">
      <c r="B9" s="40" t="s">
        <v>4622</v>
      </c>
      <c r="C9" s="53" t="s">
        <v>3113</v>
      </c>
      <c r="D9" s="51"/>
    </row>
    <row r="10" spans="2:20">
      <c r="S10" s="13" t="str">
        <f>Show!$B$154&amp;Show!$B$154&amp;"S.26.07.04.01 Table label {"&amp;COLUMN($C$1)&amp;"}"</f>
        <v>!!S.26.07.04.01 Table label {3}</v>
      </c>
      <c r="T10" s="13" t="str">
        <f>Show!$B$154&amp;Show!$B$154&amp;"S.26.07.04.01 Table value {"&amp;COLUMN($D$1)&amp;"}"</f>
        <v>!!S.26.07.04.01 Table value {4}</v>
      </c>
    </row>
    <row r="12" spans="2:20">
      <c r="D12" s="92" t="s">
        <v>2877</v>
      </c>
      <c r="E12" s="93"/>
      <c r="F12" s="93"/>
      <c r="G12" s="93"/>
      <c r="H12" s="93"/>
      <c r="I12" s="93"/>
      <c r="J12" s="93"/>
      <c r="K12" s="94"/>
    </row>
    <row r="13" spans="2:20">
      <c r="D13" s="95"/>
      <c r="E13" s="96"/>
      <c r="F13" s="96"/>
      <c r="G13" s="96"/>
      <c r="H13" s="96"/>
      <c r="I13" s="96"/>
      <c r="J13" s="96"/>
      <c r="K13" s="97"/>
    </row>
    <row r="14" spans="2:20">
      <c r="D14" s="98" t="s">
        <v>3617</v>
      </c>
      <c r="E14" s="100"/>
      <c r="F14" s="100"/>
      <c r="G14" s="100"/>
      <c r="H14" s="100"/>
      <c r="I14" s="100"/>
      <c r="J14" s="100"/>
      <c r="K14" s="99"/>
    </row>
    <row r="15" spans="2:20" ht="30">
      <c r="D15" s="55">
        <v>0</v>
      </c>
      <c r="E15" s="55">
        <v>1</v>
      </c>
      <c r="F15" s="55">
        <v>2</v>
      </c>
      <c r="G15" s="55">
        <v>3</v>
      </c>
      <c r="H15" s="55">
        <v>4</v>
      </c>
      <c r="I15" s="55">
        <v>5</v>
      </c>
      <c r="J15" s="55">
        <v>6</v>
      </c>
      <c r="K15" s="55" t="s">
        <v>2370</v>
      </c>
    </row>
    <row r="16" spans="2:20">
      <c r="D16" s="45" t="s">
        <v>2879</v>
      </c>
      <c r="E16" s="45" t="s">
        <v>3219</v>
      </c>
      <c r="F16" s="45" t="s">
        <v>3225</v>
      </c>
      <c r="G16" s="45" t="s">
        <v>3223</v>
      </c>
      <c r="H16" s="45" t="s">
        <v>3229</v>
      </c>
      <c r="I16" s="45" t="s">
        <v>3231</v>
      </c>
      <c r="J16" s="45" t="s">
        <v>3233</v>
      </c>
      <c r="K16" s="45" t="s">
        <v>3234</v>
      </c>
      <c r="S16" s="13" t="str">
        <f>Show!$B$154&amp;"S.26.07.04.01 Rows {"&amp;COLUMN($C$1)&amp;"}"&amp;"@ForceFilingCode:true"</f>
        <v>!S.26.07.04.01 Rows {3}@ForceFilingCode:true</v>
      </c>
      <c r="T16" s="13" t="str">
        <f>Show!$B$154&amp;"S.26.07.04.01 Columns {"&amp;COLUMN($D$1)&amp;"}"</f>
        <v>!S.26.07.04.01 Columns {4}</v>
      </c>
    </row>
    <row r="17" spans="2:20">
      <c r="B17" s="43" t="s">
        <v>2880</v>
      </c>
      <c r="C17" s="44" t="s">
        <v>2878</v>
      </c>
      <c r="D17" s="56"/>
      <c r="E17" s="66"/>
      <c r="F17" s="66"/>
      <c r="G17" s="66"/>
      <c r="H17" s="66"/>
      <c r="I17" s="66"/>
      <c r="J17" s="66"/>
      <c r="K17" s="57"/>
    </row>
    <row r="18" spans="2:20">
      <c r="B18" s="47" t="s">
        <v>5045</v>
      </c>
      <c r="C18" s="41" t="s">
        <v>2883</v>
      </c>
      <c r="D18" s="60"/>
      <c r="E18" s="60"/>
      <c r="F18" s="60"/>
      <c r="G18" s="60"/>
      <c r="H18" s="60"/>
      <c r="I18" s="60"/>
      <c r="J18" s="60"/>
      <c r="K18" s="60"/>
    </row>
    <row r="19" spans="2:20">
      <c r="B19" s="47" t="s">
        <v>5046</v>
      </c>
      <c r="C19" s="41" t="s">
        <v>2885</v>
      </c>
      <c r="D19" s="69"/>
      <c r="E19" s="69"/>
      <c r="F19" s="69"/>
      <c r="G19" s="69"/>
      <c r="H19" s="69"/>
      <c r="I19" s="69"/>
      <c r="J19" s="69"/>
      <c r="K19" s="69"/>
    </row>
    <row r="21" spans="2:20">
      <c r="S21" s="13" t="str">
        <f>Show!$B$154&amp;Show!$B$154&amp;"S.26.07.04.01 Rows {"&amp;COLUMN($C$1)&amp;"}"</f>
        <v>!!S.26.07.04.01 Rows {3}</v>
      </c>
      <c r="T21" s="13" t="str">
        <f>Show!$B$154&amp;Show!$B$154&amp;"S.26.07.04.01 Columns {"&amp;COLUMN($K$1)&amp;"}"</f>
        <v>!!S.26.07.04.01 Columns {11}</v>
      </c>
    </row>
    <row r="23" spans="2:20" ht="18.75">
      <c r="B23" s="88" t="s">
        <v>5079</v>
      </c>
      <c r="C23" s="87"/>
      <c r="D23" s="87"/>
      <c r="E23" s="87"/>
      <c r="F23" s="87"/>
      <c r="G23" s="87"/>
      <c r="H23" s="87"/>
      <c r="I23" s="87"/>
      <c r="J23" s="87"/>
      <c r="K23" s="87"/>
      <c r="L23" s="87"/>
    </row>
    <row r="25" spans="2:20">
      <c r="B25" t="s">
        <v>3110</v>
      </c>
      <c r="S25" s="13" t="str">
        <f>Show!$B$154&amp;"S.26.07.04.02 Table label {"&amp;COLUMN($C$1)&amp;"}"</f>
        <v>!S.26.07.04.02 Table label {3}</v>
      </c>
      <c r="T25" s="13" t="str">
        <f>Show!$B$154&amp;"S.26.07.04.02 Table value {"&amp;COLUMN($D$1)&amp;"}"</f>
        <v>!S.26.07.04.02 Table value {4}</v>
      </c>
    </row>
    <row r="26" spans="2:20">
      <c r="B26" t="s">
        <v>3111</v>
      </c>
    </row>
    <row r="27" spans="2:20">
      <c r="B27" s="40" t="s">
        <v>4622</v>
      </c>
      <c r="C27" s="53" t="s">
        <v>3113</v>
      </c>
      <c r="D27" s="51"/>
    </row>
    <row r="28" spans="2:20">
      <c r="S28" s="13" t="str">
        <f>Show!$B$154&amp;Show!$B$154&amp;"S.26.07.04.02 Table label {"&amp;COLUMN($C$1)&amp;"}"</f>
        <v>!!S.26.07.04.02 Table label {3}</v>
      </c>
      <c r="T28" s="13" t="str">
        <f>Show!$B$154&amp;Show!$B$154&amp;"S.26.07.04.02 Table value {"&amp;COLUMN($D$1)&amp;"}"</f>
        <v>!!S.26.07.04.02 Table value {4}</v>
      </c>
    </row>
    <row r="30" spans="2:20">
      <c r="D30" s="89" t="s">
        <v>2877</v>
      </c>
    </row>
    <row r="31" spans="2:20">
      <c r="D31" s="90"/>
    </row>
    <row r="32" spans="2:20">
      <c r="D32" s="91"/>
    </row>
    <row r="33" spans="2:20">
      <c r="D33" s="45" t="s">
        <v>3236</v>
      </c>
      <c r="S33" s="13" t="str">
        <f>Show!$B$154&amp;"S.26.07.04.02 Rows {"&amp;COLUMN($C$1)&amp;"}"&amp;"@ForceFilingCode:true"</f>
        <v>!S.26.07.04.02 Rows {3}@ForceFilingCode:true</v>
      </c>
      <c r="T33" s="13" t="str">
        <f>Show!$B$154&amp;"S.26.07.04.02 Columns {"&amp;COLUMN($D$1)&amp;"}"</f>
        <v>!S.26.07.04.02 Columns {4}</v>
      </c>
    </row>
    <row r="34" spans="2:20">
      <c r="B34" s="43" t="s">
        <v>2880</v>
      </c>
      <c r="C34" s="44" t="s">
        <v>2878</v>
      </c>
      <c r="D34" s="46"/>
    </row>
    <row r="35" spans="2:20">
      <c r="B35" s="47" t="s">
        <v>5048</v>
      </c>
      <c r="C35" s="41" t="s">
        <v>2887</v>
      </c>
      <c r="D35" s="60"/>
    </row>
    <row r="37" spans="2:20">
      <c r="S37" s="13" t="str">
        <f>Show!$B$154&amp;Show!$B$154&amp;"S.26.07.04.02 Rows {"&amp;COLUMN($C$1)&amp;"}"</f>
        <v>!!S.26.07.04.02 Rows {3}</v>
      </c>
      <c r="T37" s="13" t="str">
        <f>Show!$B$154&amp;Show!$B$154&amp;"S.26.07.04.02 Columns {"&amp;COLUMN($D$1)&amp;"}"</f>
        <v>!!S.26.07.04.02 Columns {4}</v>
      </c>
    </row>
    <row r="39" spans="2:20" ht="18.75">
      <c r="B39" s="88" t="s">
        <v>5080</v>
      </c>
      <c r="C39" s="87"/>
      <c r="D39" s="87"/>
      <c r="E39" s="87"/>
      <c r="F39" s="87"/>
      <c r="G39" s="87"/>
      <c r="H39" s="87"/>
      <c r="I39" s="87"/>
      <c r="J39" s="87"/>
      <c r="K39" s="87"/>
      <c r="L39" s="87"/>
    </row>
    <row r="41" spans="2:20">
      <c r="B41" t="s">
        <v>3110</v>
      </c>
      <c r="S41" s="13" t="str">
        <f>Show!$B$154&amp;"S.26.07.04.03 Table label {"&amp;COLUMN($C$1)&amp;"}"</f>
        <v>!S.26.07.04.03 Table label {3}</v>
      </c>
      <c r="T41" s="13" t="str">
        <f>Show!$B$154&amp;"S.26.07.04.03 Table value {"&amp;COLUMN($D$1)&amp;"}"</f>
        <v>!S.26.07.04.03 Table value {4}</v>
      </c>
    </row>
    <row r="42" spans="2:20">
      <c r="B42" t="s">
        <v>3111</v>
      </c>
    </row>
    <row r="43" spans="2:20">
      <c r="B43" s="40" t="s">
        <v>4622</v>
      </c>
      <c r="C43" s="53" t="s">
        <v>3113</v>
      </c>
      <c r="D43" s="51"/>
    </row>
    <row r="44" spans="2:20">
      <c r="B44" s="40" t="s">
        <v>5050</v>
      </c>
      <c r="C44" s="53" t="s">
        <v>3875</v>
      </c>
      <c r="D44" s="51"/>
    </row>
    <row r="45" spans="2:20">
      <c r="S45" s="13" t="str">
        <f>Show!$B$154&amp;Show!$B$154&amp;"S.26.07.04.03 Table label {"&amp;COLUMN($C$1)&amp;"}"</f>
        <v>!!S.26.07.04.03 Table label {3}</v>
      </c>
      <c r="T45" s="13" t="str">
        <f>Show!$B$154&amp;Show!$B$154&amp;"S.26.07.04.03 Table value {"&amp;COLUMN($D$1)&amp;"}"</f>
        <v>!!S.26.07.04.03 Table value {4}</v>
      </c>
    </row>
    <row r="47" spans="2:20">
      <c r="D47" s="92" t="s">
        <v>2877</v>
      </c>
      <c r="E47" s="94"/>
    </row>
    <row r="48" spans="2:20">
      <c r="D48" s="95"/>
      <c r="E48" s="97"/>
    </row>
    <row r="49" spans="2:20">
      <c r="D49" s="98" t="s">
        <v>5022</v>
      </c>
      <c r="E49" s="99"/>
    </row>
    <row r="50" spans="2:20" ht="30">
      <c r="D50" s="55" t="s">
        <v>5051</v>
      </c>
      <c r="E50" s="55" t="s">
        <v>5052</v>
      </c>
    </row>
    <row r="51" spans="2:20">
      <c r="D51" s="45" t="s">
        <v>3239</v>
      </c>
      <c r="E51" s="45" t="s">
        <v>3241</v>
      </c>
      <c r="S51" s="13" t="str">
        <f>Show!$B$154&amp;"S.26.07.04.03 Rows {"&amp;COLUMN($C$1)&amp;"}"&amp;"@ForceFilingCode:true"</f>
        <v>!S.26.07.04.03 Rows {3}@ForceFilingCode:true</v>
      </c>
      <c r="T51" s="13" t="str">
        <f>Show!$B$154&amp;"S.26.07.04.03 Columns {"&amp;COLUMN($D$1)&amp;"}"</f>
        <v>!S.26.07.04.03 Columns {4}</v>
      </c>
    </row>
    <row r="52" spans="2:20">
      <c r="B52" s="43" t="s">
        <v>2880</v>
      </c>
      <c r="C52" s="44" t="s">
        <v>2878</v>
      </c>
      <c r="D52" s="56"/>
      <c r="E52" s="57"/>
    </row>
    <row r="53" spans="2:20">
      <c r="B53" s="47" t="s">
        <v>3606</v>
      </c>
      <c r="C53" s="41" t="s">
        <v>2889</v>
      </c>
      <c r="D53" s="60"/>
      <c r="E53" s="60"/>
    </row>
    <row r="55" spans="2:20">
      <c r="S55" s="13" t="str">
        <f>Show!$B$154&amp;Show!$B$154&amp;"S.26.07.04.03 Rows {"&amp;COLUMN($C$1)&amp;"}"</f>
        <v>!!S.26.07.04.03 Rows {3}</v>
      </c>
      <c r="T55" s="13" t="str">
        <f>Show!$B$154&amp;Show!$B$154&amp;"S.26.07.04.03 Columns {"&amp;COLUMN($E$1)&amp;"}"</f>
        <v>!!S.26.07.04.03 Columns {5}</v>
      </c>
    </row>
    <row r="57" spans="2:20" ht="18.75">
      <c r="B57" s="88" t="s">
        <v>5081</v>
      </c>
      <c r="C57" s="87"/>
      <c r="D57" s="87"/>
      <c r="E57" s="87"/>
      <c r="F57" s="87"/>
      <c r="G57" s="87"/>
      <c r="H57" s="87"/>
      <c r="I57" s="87"/>
      <c r="J57" s="87"/>
      <c r="K57" s="87"/>
      <c r="L57" s="87"/>
    </row>
    <row r="59" spans="2:20">
      <c r="B59" t="s">
        <v>3110</v>
      </c>
      <c r="S59" s="13" t="str">
        <f>Show!$B$154&amp;"S.26.07.04.04 Table label {"&amp;COLUMN($C$1)&amp;"}"</f>
        <v>!S.26.07.04.04 Table label {3}</v>
      </c>
      <c r="T59" s="13" t="str">
        <f>Show!$B$154&amp;"S.26.07.04.04 Table value {"&amp;COLUMN($D$1)&amp;"}"</f>
        <v>!S.26.07.04.04 Table value {4}</v>
      </c>
    </row>
    <row r="60" spans="2:20">
      <c r="B60" t="s">
        <v>3111</v>
      </c>
    </row>
    <row r="61" spans="2:20">
      <c r="B61" s="40" t="s">
        <v>4622</v>
      </c>
      <c r="C61" s="53" t="s">
        <v>3113</v>
      </c>
      <c r="D61" s="51"/>
    </row>
    <row r="62" spans="2:20">
      <c r="S62" s="13" t="str">
        <f>Show!$B$154&amp;Show!$B$154&amp;"S.26.07.04.04 Table label {"&amp;COLUMN($C$1)&amp;"}"</f>
        <v>!!S.26.07.04.04 Table label {3}</v>
      </c>
      <c r="T62" s="13" t="str">
        <f>Show!$B$154&amp;Show!$B$154&amp;"S.26.07.04.04 Table value {"&amp;COLUMN($D$1)&amp;"}"</f>
        <v>!!S.26.07.04.04 Table value {4}</v>
      </c>
    </row>
    <row r="64" spans="2:20">
      <c r="D64" s="92" t="s">
        <v>2877</v>
      </c>
      <c r="E64" s="93"/>
      <c r="F64" s="93"/>
      <c r="G64" s="93"/>
      <c r="H64" s="93"/>
      <c r="I64" s="93"/>
      <c r="J64" s="93"/>
      <c r="K64" s="93"/>
      <c r="L64" s="93"/>
      <c r="M64" s="93"/>
      <c r="N64" s="94"/>
    </row>
    <row r="65" spans="2:20">
      <c r="D65" s="95"/>
      <c r="E65" s="96"/>
      <c r="F65" s="96"/>
      <c r="G65" s="96"/>
      <c r="H65" s="96"/>
      <c r="I65" s="96"/>
      <c r="J65" s="96"/>
      <c r="K65" s="96"/>
      <c r="L65" s="96"/>
      <c r="M65" s="96"/>
      <c r="N65" s="97"/>
    </row>
    <row r="66" spans="2:20">
      <c r="D66" s="89" t="s">
        <v>5054</v>
      </c>
      <c r="E66" s="89" t="s">
        <v>5055</v>
      </c>
      <c r="F66" s="89" t="s">
        <v>5056</v>
      </c>
      <c r="G66" s="89" t="s">
        <v>3292</v>
      </c>
      <c r="H66" s="89" t="s">
        <v>5057</v>
      </c>
      <c r="I66" s="89" t="s">
        <v>5058</v>
      </c>
      <c r="J66" s="89" t="s">
        <v>5046</v>
      </c>
      <c r="K66" s="89" t="s">
        <v>5059</v>
      </c>
      <c r="L66" s="89" t="s">
        <v>5060</v>
      </c>
      <c r="M66" s="89" t="s">
        <v>5061</v>
      </c>
      <c r="N66" s="89" t="s">
        <v>5062</v>
      </c>
    </row>
    <row r="67" spans="2:20">
      <c r="D67" s="91"/>
      <c r="E67" s="91"/>
      <c r="F67" s="91"/>
      <c r="G67" s="91"/>
      <c r="H67" s="91"/>
      <c r="I67" s="91"/>
      <c r="J67" s="91"/>
      <c r="K67" s="91"/>
      <c r="L67" s="91"/>
      <c r="M67" s="91"/>
      <c r="N67" s="91"/>
    </row>
    <row r="68" spans="2:20">
      <c r="D68" s="45" t="s">
        <v>3243</v>
      </c>
      <c r="E68" s="45" t="s">
        <v>3375</v>
      </c>
      <c r="F68" s="45" t="s">
        <v>3475</v>
      </c>
      <c r="G68" s="45" t="s">
        <v>3477</v>
      </c>
      <c r="H68" s="45" t="s">
        <v>3479</v>
      </c>
      <c r="I68" s="45" t="s">
        <v>3594</v>
      </c>
      <c r="J68" s="45" t="s">
        <v>3596</v>
      </c>
      <c r="K68" s="45" t="s">
        <v>3599</v>
      </c>
      <c r="L68" s="45" t="s">
        <v>3481</v>
      </c>
      <c r="M68" s="45" t="s">
        <v>3508</v>
      </c>
      <c r="N68" s="45" t="s">
        <v>3509</v>
      </c>
      <c r="S68" s="13" t="str">
        <f>Show!$B$154&amp;"S.26.07.04.04 Rows {"&amp;COLUMN($C$1)&amp;"}"&amp;"@ForceFilingCode:true"</f>
        <v>!S.26.07.04.04 Rows {3}@ForceFilingCode:true</v>
      </c>
      <c r="T68" s="13" t="str">
        <f>Show!$B$154&amp;"S.26.07.04.04 Columns {"&amp;COLUMN($D$1)&amp;"}"</f>
        <v>!S.26.07.04.04 Columns {4}</v>
      </c>
    </row>
    <row r="69" spans="2:20">
      <c r="B69" s="43" t="s">
        <v>2880</v>
      </c>
      <c r="C69" s="44" t="s">
        <v>2878</v>
      </c>
      <c r="D69" s="56"/>
      <c r="E69" s="67"/>
      <c r="F69" s="67"/>
      <c r="G69" s="67"/>
      <c r="H69" s="66"/>
      <c r="I69" s="67"/>
      <c r="J69" s="66"/>
      <c r="K69" s="67"/>
      <c r="L69" s="67"/>
      <c r="M69" s="67"/>
      <c r="N69" s="59"/>
    </row>
    <row r="70" spans="2:20">
      <c r="B70" s="47" t="s">
        <v>4879</v>
      </c>
      <c r="C70" s="41" t="s">
        <v>2899</v>
      </c>
      <c r="D70" s="65"/>
      <c r="E70" s="58"/>
      <c r="F70" s="58"/>
      <c r="G70" s="46"/>
      <c r="H70" s="71"/>
      <c r="I70" s="48"/>
      <c r="J70" s="79"/>
      <c r="K70" s="58"/>
      <c r="L70" s="58"/>
      <c r="M70" s="58"/>
      <c r="N70" s="48"/>
    </row>
    <row r="71" spans="2:20">
      <c r="B71" s="47" t="s">
        <v>4880</v>
      </c>
      <c r="C71" s="44" t="s">
        <v>2901</v>
      </c>
      <c r="D71" s="56"/>
      <c r="E71" s="56"/>
      <c r="F71" s="48"/>
      <c r="G71" s="60"/>
      <c r="H71" s="71"/>
      <c r="I71" s="46"/>
      <c r="J71" s="79"/>
      <c r="K71" s="58"/>
      <c r="L71" s="56"/>
      <c r="M71" s="58"/>
      <c r="N71" s="48"/>
    </row>
    <row r="72" spans="2:20">
      <c r="B72" s="47" t="s">
        <v>4881</v>
      </c>
      <c r="C72" s="41" t="s">
        <v>2903</v>
      </c>
      <c r="D72" s="63"/>
      <c r="E72" s="65"/>
      <c r="F72" s="48"/>
      <c r="G72" s="63"/>
      <c r="H72" s="76"/>
      <c r="I72" s="76"/>
      <c r="J72" s="80"/>
      <c r="K72" s="48"/>
      <c r="L72" s="78"/>
      <c r="M72" s="58"/>
      <c r="N72" s="48"/>
    </row>
    <row r="73" spans="2:20">
      <c r="B73" s="47" t="s">
        <v>4882</v>
      </c>
      <c r="C73" s="44" t="s">
        <v>2878</v>
      </c>
      <c r="D73" s="58"/>
      <c r="E73" s="67"/>
      <c r="F73" s="66"/>
      <c r="G73" s="67"/>
      <c r="H73" s="66"/>
      <c r="I73" s="67"/>
      <c r="J73" s="67"/>
      <c r="K73" s="66"/>
      <c r="L73" s="67"/>
      <c r="M73" s="67"/>
      <c r="N73" s="59"/>
    </row>
    <row r="74" spans="2:20">
      <c r="B74" s="49" t="s">
        <v>5063</v>
      </c>
      <c r="C74" s="44" t="s">
        <v>2905</v>
      </c>
      <c r="D74" s="58"/>
      <c r="E74" s="48"/>
      <c r="F74" s="64"/>
      <c r="G74" s="48"/>
      <c r="H74" s="71"/>
      <c r="I74" s="58"/>
      <c r="J74" s="48"/>
      <c r="K74" s="79"/>
      <c r="L74" s="58"/>
      <c r="M74" s="58"/>
      <c r="N74" s="48"/>
    </row>
    <row r="75" spans="2:20">
      <c r="B75" s="49" t="s">
        <v>5064</v>
      </c>
      <c r="C75" s="44" t="s">
        <v>2907</v>
      </c>
      <c r="D75" s="58"/>
      <c r="E75" s="48"/>
      <c r="F75" s="65"/>
      <c r="G75" s="48"/>
      <c r="H75" s="78"/>
      <c r="I75" s="58"/>
      <c r="J75" s="46"/>
      <c r="K75" s="80"/>
      <c r="L75" s="58"/>
      <c r="M75" s="56"/>
      <c r="N75" s="46"/>
    </row>
    <row r="76" spans="2:20">
      <c r="B76" s="47" t="s">
        <v>4886</v>
      </c>
      <c r="C76" s="44" t="s">
        <v>2909</v>
      </c>
      <c r="D76" s="56"/>
      <c r="E76" s="58"/>
      <c r="F76" s="58"/>
      <c r="G76" s="58"/>
      <c r="H76" s="58"/>
      <c r="I76" s="48"/>
      <c r="J76" s="80"/>
      <c r="K76" s="58"/>
      <c r="L76" s="48"/>
      <c r="M76" s="63"/>
      <c r="N76" s="76"/>
    </row>
    <row r="77" spans="2:20">
      <c r="B77" s="47" t="s">
        <v>4888</v>
      </c>
      <c r="C77" s="41" t="s">
        <v>2911</v>
      </c>
      <c r="D77" s="65"/>
      <c r="E77" s="58"/>
      <c r="F77" s="58"/>
      <c r="G77" s="58"/>
      <c r="H77" s="58"/>
      <c r="I77" s="58"/>
      <c r="J77" s="58"/>
      <c r="K77" s="58"/>
      <c r="L77" s="58"/>
      <c r="M77" s="58"/>
      <c r="N77" s="48"/>
    </row>
    <row r="78" spans="2:20">
      <c r="B78" s="47" t="s">
        <v>4629</v>
      </c>
      <c r="C78" s="44" t="s">
        <v>2878</v>
      </c>
      <c r="D78" s="56"/>
      <c r="E78" s="67"/>
      <c r="F78" s="67"/>
      <c r="G78" s="67"/>
      <c r="H78" s="66"/>
      <c r="I78" s="67"/>
      <c r="J78" s="66"/>
      <c r="K78" s="67"/>
      <c r="L78" s="67"/>
      <c r="M78" s="67"/>
      <c r="N78" s="59"/>
    </row>
    <row r="79" spans="2:20">
      <c r="B79" s="49" t="s">
        <v>4910</v>
      </c>
      <c r="C79" s="41" t="s">
        <v>2919</v>
      </c>
      <c r="D79" s="65"/>
      <c r="E79" s="58"/>
      <c r="F79" s="58"/>
      <c r="G79" s="46"/>
      <c r="H79" s="71"/>
      <c r="I79" s="48"/>
      <c r="J79" s="79"/>
      <c r="K79" s="58"/>
      <c r="L79" s="58"/>
      <c r="M79" s="58"/>
      <c r="N79" s="48"/>
    </row>
    <row r="80" spans="2:20">
      <c r="B80" s="49" t="s">
        <v>4911</v>
      </c>
      <c r="C80" s="44" t="s">
        <v>2921</v>
      </c>
      <c r="D80" s="58"/>
      <c r="E80" s="58"/>
      <c r="F80" s="48"/>
      <c r="G80" s="63"/>
      <c r="H80" s="78"/>
      <c r="I80" s="48"/>
      <c r="J80" s="79"/>
      <c r="K80" s="58"/>
      <c r="L80" s="58"/>
      <c r="M80" s="56"/>
      <c r="N80" s="46"/>
    </row>
    <row r="81" spans="2:20">
      <c r="B81" s="49" t="s">
        <v>5065</v>
      </c>
      <c r="C81" s="44" t="s">
        <v>2923</v>
      </c>
      <c r="D81" s="56"/>
      <c r="E81" s="56"/>
      <c r="F81" s="58"/>
      <c r="G81" s="56"/>
      <c r="H81" s="56"/>
      <c r="I81" s="46"/>
      <c r="J81" s="79"/>
      <c r="K81" s="58"/>
      <c r="L81" s="46"/>
      <c r="M81" s="63"/>
      <c r="N81" s="76"/>
    </row>
    <row r="82" spans="2:20">
      <c r="B82" s="49" t="s">
        <v>5066</v>
      </c>
      <c r="C82" s="41" t="s">
        <v>2925</v>
      </c>
      <c r="D82" s="63"/>
      <c r="E82" s="65"/>
      <c r="F82" s="48"/>
      <c r="G82" s="63"/>
      <c r="H82" s="76"/>
      <c r="I82" s="76"/>
      <c r="J82" s="80"/>
      <c r="K82" s="48"/>
      <c r="L82" s="78"/>
      <c r="M82" s="58"/>
      <c r="N82" s="48"/>
    </row>
    <row r="83" spans="2:20">
      <c r="B83" s="47" t="s">
        <v>5067</v>
      </c>
      <c r="C83" s="44" t="s">
        <v>2878</v>
      </c>
      <c r="D83" s="58"/>
      <c r="E83" s="67"/>
      <c r="F83" s="66"/>
      <c r="G83" s="67"/>
      <c r="H83" s="66"/>
      <c r="I83" s="67"/>
      <c r="J83" s="67"/>
      <c r="K83" s="66"/>
      <c r="L83" s="67"/>
      <c r="M83" s="67"/>
      <c r="N83" s="59"/>
    </row>
    <row r="84" spans="2:20">
      <c r="B84" s="49" t="s">
        <v>5063</v>
      </c>
      <c r="C84" s="44" t="s">
        <v>2927</v>
      </c>
      <c r="D84" s="58"/>
      <c r="E84" s="48"/>
      <c r="F84" s="64"/>
      <c r="G84" s="48"/>
      <c r="H84" s="71"/>
      <c r="I84" s="58"/>
      <c r="J84" s="48"/>
      <c r="K84" s="79"/>
      <c r="L84" s="58"/>
      <c r="M84" s="58"/>
      <c r="N84" s="48"/>
    </row>
    <row r="85" spans="2:20">
      <c r="B85" s="49" t="s">
        <v>5064</v>
      </c>
      <c r="C85" s="44" t="s">
        <v>2929</v>
      </c>
      <c r="D85" s="58"/>
      <c r="E85" s="48"/>
      <c r="F85" s="65"/>
      <c r="G85" s="48"/>
      <c r="H85" s="78"/>
      <c r="I85" s="58"/>
      <c r="J85" s="46"/>
      <c r="K85" s="80"/>
      <c r="L85" s="58"/>
      <c r="M85" s="56"/>
      <c r="N85" s="46"/>
    </row>
    <row r="86" spans="2:20">
      <c r="B86" s="47" t="s">
        <v>4918</v>
      </c>
      <c r="C86" s="44" t="s">
        <v>2931</v>
      </c>
      <c r="D86" s="56"/>
      <c r="E86" s="56"/>
      <c r="F86" s="56"/>
      <c r="G86" s="56"/>
      <c r="H86" s="56"/>
      <c r="I86" s="46"/>
      <c r="J86" s="79"/>
      <c r="K86" s="56"/>
      <c r="L86" s="46"/>
      <c r="M86" s="60"/>
      <c r="N86" s="70"/>
    </row>
    <row r="88" spans="2:20">
      <c r="S88" s="13" t="str">
        <f>Show!$B$154&amp;Show!$B$154&amp;"S.26.07.04.04 Rows {"&amp;COLUMN($C$1)&amp;"}"</f>
        <v>!!S.26.07.04.04 Rows {3}</v>
      </c>
      <c r="T88" s="13" t="str">
        <f>Show!$B$154&amp;Show!$B$154&amp;"S.26.07.04.04 Columns {"&amp;COLUMN($N$1)&amp;"}"</f>
        <v>!!S.26.07.04.04 Columns {14}</v>
      </c>
    </row>
    <row r="90" spans="2:20" ht="18.75">
      <c r="B90" s="88" t="s">
        <v>5082</v>
      </c>
      <c r="C90" s="87"/>
      <c r="D90" s="87"/>
      <c r="E90" s="87"/>
      <c r="F90" s="87"/>
      <c r="G90" s="87"/>
      <c r="H90" s="87"/>
      <c r="I90" s="87"/>
      <c r="J90" s="87"/>
      <c r="K90" s="87"/>
      <c r="L90" s="87"/>
    </row>
    <row r="92" spans="2:20">
      <c r="B92" t="s">
        <v>3110</v>
      </c>
      <c r="S92" s="13" t="str">
        <f>Show!$B$154&amp;"S.26.07.04.05 Table label {"&amp;COLUMN($C$1)&amp;"}"</f>
        <v>!S.26.07.04.05 Table label {3}</v>
      </c>
      <c r="T92" s="13" t="str">
        <f>Show!$B$154&amp;"S.26.07.04.05 Table value {"&amp;COLUMN($D$1)&amp;"}"</f>
        <v>!S.26.07.04.05 Table value {4}</v>
      </c>
    </row>
    <row r="93" spans="2:20">
      <c r="B93" t="s">
        <v>3111</v>
      </c>
    </row>
    <row r="94" spans="2:20">
      <c r="B94" s="40" t="s">
        <v>4622</v>
      </c>
      <c r="C94" s="53" t="s">
        <v>3113</v>
      </c>
      <c r="D94" s="51"/>
    </row>
    <row r="95" spans="2:20">
      <c r="S95" s="13" t="str">
        <f>Show!$B$154&amp;Show!$B$154&amp;"S.26.07.04.05 Table label {"&amp;COLUMN($C$1)&amp;"}"</f>
        <v>!!S.26.07.04.05 Table label {3}</v>
      </c>
      <c r="T95" s="13" t="str">
        <f>Show!$B$154&amp;Show!$B$154&amp;"S.26.07.04.05 Table value {"&amp;COLUMN($D$1)&amp;"}"</f>
        <v>!!S.26.07.04.05 Table value {4}</v>
      </c>
    </row>
    <row r="97" spans="2:20">
      <c r="D97" s="89" t="s">
        <v>2877</v>
      </c>
    </row>
    <row r="98" spans="2:20">
      <c r="D98" s="90"/>
    </row>
    <row r="99" spans="2:20">
      <c r="D99" s="91"/>
    </row>
    <row r="100" spans="2:20">
      <c r="D100" s="45" t="s">
        <v>3519</v>
      </c>
      <c r="S100" s="13" t="str">
        <f>Show!$B$154&amp;"S.26.07.04.05 Rows {"&amp;COLUMN($C$1)&amp;"}"&amp;"@ForceFilingCode:true"</f>
        <v>!S.26.07.04.05 Rows {3}@ForceFilingCode:true</v>
      </c>
      <c r="T100" s="13" t="str">
        <f>Show!$B$154&amp;"S.26.07.04.05 Columns {"&amp;COLUMN($D$1)&amp;"}"</f>
        <v>!S.26.07.04.05 Columns {4}</v>
      </c>
    </row>
    <row r="101" spans="2:20">
      <c r="B101" s="43" t="s">
        <v>2880</v>
      </c>
      <c r="C101" s="44" t="s">
        <v>2878</v>
      </c>
      <c r="D101" s="46"/>
    </row>
    <row r="102" spans="2:20">
      <c r="B102" s="47" t="s">
        <v>5069</v>
      </c>
      <c r="C102" s="41" t="s">
        <v>2939</v>
      </c>
      <c r="D102" s="60"/>
    </row>
    <row r="104" spans="2:20">
      <c r="S104" s="13" t="str">
        <f>Show!$B$154&amp;Show!$B$154&amp;"S.26.07.04.05 Rows {"&amp;COLUMN($C$1)&amp;"}"</f>
        <v>!!S.26.07.04.05 Rows {3}</v>
      </c>
      <c r="T104" s="13" t="str">
        <f>Show!$B$154&amp;Show!$B$154&amp;"S.26.07.04.05 Columns {"&amp;COLUMN($D$1)&amp;"}"</f>
        <v>!!S.26.07.04.05 Columns {4}</v>
      </c>
    </row>
    <row r="106" spans="2:20" ht="18.75">
      <c r="B106" s="88" t="s">
        <v>5083</v>
      </c>
      <c r="C106" s="87"/>
      <c r="D106" s="87"/>
      <c r="E106" s="87"/>
      <c r="F106" s="87"/>
      <c r="G106" s="87"/>
      <c r="H106" s="87"/>
      <c r="I106" s="87"/>
      <c r="J106" s="87"/>
      <c r="K106" s="87"/>
      <c r="L106" s="87"/>
    </row>
    <row r="108" spans="2:20">
      <c r="B108" t="s">
        <v>3110</v>
      </c>
      <c r="S108" s="13" t="str">
        <f>Show!$B$154&amp;"S.26.07.04.06 Table label {"&amp;COLUMN($C$1)&amp;"}"</f>
        <v>!S.26.07.04.06 Table label {3}</v>
      </c>
      <c r="T108" s="13" t="str">
        <f>Show!$B$154&amp;"S.26.07.04.06 Table value {"&amp;COLUMN($D$1)&amp;"}"</f>
        <v>!S.26.07.04.06 Table value {4}</v>
      </c>
    </row>
    <row r="109" spans="2:20">
      <c r="B109" t="s">
        <v>3111</v>
      </c>
    </row>
    <row r="110" spans="2:20">
      <c r="B110" s="40" t="s">
        <v>4622</v>
      </c>
      <c r="C110" s="53" t="s">
        <v>3113</v>
      </c>
      <c r="D110" s="51"/>
    </row>
    <row r="111" spans="2:20">
      <c r="S111" s="13" t="str">
        <f>Show!$B$154&amp;Show!$B$154&amp;"S.26.07.04.06 Table label {"&amp;COLUMN($C$1)&amp;"}"</f>
        <v>!!S.26.07.04.06 Table label {3}</v>
      </c>
      <c r="T111" s="13" t="str">
        <f>Show!$B$154&amp;Show!$B$154&amp;"S.26.07.04.06 Table value {"&amp;COLUMN($D$1)&amp;"}"</f>
        <v>!!S.26.07.04.06 Table value {4}</v>
      </c>
    </row>
    <row r="113" spans="2:20">
      <c r="D113" s="92" t="s">
        <v>2877</v>
      </c>
      <c r="E113" s="94"/>
    </row>
    <row r="114" spans="2:20">
      <c r="D114" s="95"/>
      <c r="E114" s="97"/>
    </row>
    <row r="115" spans="2:20" ht="30">
      <c r="D115" s="55" t="s">
        <v>5071</v>
      </c>
      <c r="E115" s="55" t="s">
        <v>5072</v>
      </c>
    </row>
    <row r="116" spans="2:20">
      <c r="D116" s="45" t="s">
        <v>3614</v>
      </c>
      <c r="E116" s="45" t="s">
        <v>3616</v>
      </c>
      <c r="S116" s="13" t="str">
        <f>Show!$B$154&amp;"S.26.07.04.06 Rows {"&amp;COLUMN($C$1)&amp;"}"&amp;"@ForceFilingCode:true"</f>
        <v>!S.26.07.04.06 Rows {3}@ForceFilingCode:true</v>
      </c>
      <c r="T116" s="13" t="str">
        <f>Show!$B$154&amp;"S.26.07.04.06 Columns {"&amp;COLUMN($D$1)&amp;"}"</f>
        <v>!S.26.07.04.06 Columns {4}</v>
      </c>
    </row>
    <row r="117" spans="2:20">
      <c r="B117" s="43" t="s">
        <v>2880</v>
      </c>
      <c r="C117" s="44" t="s">
        <v>2878</v>
      </c>
      <c r="D117" s="56"/>
      <c r="E117" s="57"/>
    </row>
    <row r="118" spans="2:20">
      <c r="B118" s="47" t="s">
        <v>5073</v>
      </c>
      <c r="C118" s="41" t="s">
        <v>2959</v>
      </c>
      <c r="D118" s="70"/>
      <c r="E118" s="60"/>
    </row>
    <row r="119" spans="2:20">
      <c r="B119" s="47" t="s">
        <v>5074</v>
      </c>
      <c r="C119" s="41" t="s">
        <v>2961</v>
      </c>
      <c r="D119" s="70"/>
      <c r="E119" s="60"/>
    </row>
    <row r="120" spans="2:20">
      <c r="B120" s="47" t="s">
        <v>5075</v>
      </c>
      <c r="C120" s="41" t="s">
        <v>2963</v>
      </c>
      <c r="D120" s="70"/>
      <c r="E120" s="60"/>
    </row>
    <row r="121" spans="2:20">
      <c r="B121" s="47" t="s">
        <v>5076</v>
      </c>
      <c r="C121" s="41" t="s">
        <v>2965</v>
      </c>
      <c r="D121" s="70"/>
      <c r="E121" s="60"/>
    </row>
    <row r="122" spans="2:20">
      <c r="B122" s="47" t="s">
        <v>5077</v>
      </c>
      <c r="C122" s="41" t="s">
        <v>2967</v>
      </c>
      <c r="D122" s="70"/>
      <c r="E122" s="60"/>
    </row>
    <row r="124" spans="2:20">
      <c r="S124" s="13" t="str">
        <f>Show!$B$154&amp;Show!$B$154&amp;"S.26.07.04.06 Rows {"&amp;COLUMN($C$1)&amp;"}"</f>
        <v>!!S.26.07.04.06 Rows {3}</v>
      </c>
      <c r="T124" s="13" t="str">
        <f>Show!$B$154&amp;Show!$B$154&amp;"S.26.07.04.06 Columns {"&amp;COLUMN($E$1)&amp;"}"</f>
        <v>!!S.26.07.04.06 Columns {5}</v>
      </c>
    </row>
  </sheetData>
  <sheetProtection sheet="1" objects="1" scenarios="1"/>
  <mergeCells count="26">
    <mergeCell ref="D30:D32"/>
    <mergeCell ref="B2:O2"/>
    <mergeCell ref="B5:L5"/>
    <mergeCell ref="D12:K13"/>
    <mergeCell ref="D14:K14"/>
    <mergeCell ref="B23:L23"/>
    <mergeCell ref="M66:M67"/>
    <mergeCell ref="N66:N67"/>
    <mergeCell ref="B39:L39"/>
    <mergeCell ref="D47:E48"/>
    <mergeCell ref="D49:E49"/>
    <mergeCell ref="B57:L57"/>
    <mergeCell ref="D64:N65"/>
    <mergeCell ref="D66:D67"/>
    <mergeCell ref="E66:E67"/>
    <mergeCell ref="F66:F67"/>
    <mergeCell ref="G66:G67"/>
    <mergeCell ref="H66:H67"/>
    <mergeCell ref="B90:L90"/>
    <mergeCell ref="D97:D99"/>
    <mergeCell ref="B106:L106"/>
    <mergeCell ref="D113:E114"/>
    <mergeCell ref="I66:I67"/>
    <mergeCell ref="J66:J67"/>
    <mergeCell ref="K66:K67"/>
    <mergeCell ref="L66:L67"/>
  </mergeCells>
  <dataValidations count="2">
    <dataValidation type="list" errorStyle="warning" allowBlank="1" showInputMessage="1" showErrorMessage="1" sqref="D9 D27 D43 D61 D94 D110" xr:uid="{CB94158C-E1C0-4155-BF5E-44332C2B91E1}">
      <formula1>hier_AO_1</formula1>
    </dataValidation>
    <dataValidation type="list" errorStyle="warning" allowBlank="1" showInputMessage="1" showErrorMessage="1" sqref="D44" xr:uid="{9FB61C61-3ECC-483E-A17F-5D0E3019E11B}">
      <formula1>hier_CU_5</formula1>
    </dataValidation>
  </dataValidations>
  <pageMargins left="0.7" right="0.7" top="0.75" bottom="0.75" header="0.3" footer="0.3"/>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4151C-8875-4972-884A-14E08B84CBA9}">
  <sheetPr codeName="Blad159"/>
  <dimension ref="B2:T136"/>
  <sheetViews>
    <sheetView showGridLines="0" workbookViewId="0"/>
  </sheetViews>
  <sheetFormatPr defaultRowHeight="15"/>
  <cols>
    <col min="2" max="2" width="61.85546875" bestFit="1" customWidth="1"/>
    <col min="4" max="14" width="15.7109375" customWidth="1"/>
  </cols>
  <sheetData>
    <row r="2" spans="2:20" ht="23.25">
      <c r="B2" s="86" t="s">
        <v>738</v>
      </c>
      <c r="C2" s="87"/>
      <c r="D2" s="87"/>
      <c r="E2" s="87"/>
      <c r="F2" s="87"/>
      <c r="G2" s="87"/>
      <c r="H2" s="87"/>
      <c r="I2" s="87"/>
      <c r="J2" s="87"/>
      <c r="K2" s="87"/>
      <c r="L2" s="87"/>
      <c r="M2" s="87"/>
      <c r="N2" s="87"/>
      <c r="O2" s="87"/>
    </row>
    <row r="5" spans="2:20" ht="18.75">
      <c r="B5" s="88" t="s">
        <v>5084</v>
      </c>
      <c r="C5" s="87"/>
      <c r="D5" s="87"/>
      <c r="E5" s="87"/>
      <c r="F5" s="87"/>
      <c r="G5" s="87"/>
      <c r="H5" s="87"/>
      <c r="I5" s="87"/>
      <c r="J5" s="87"/>
      <c r="K5" s="87"/>
      <c r="L5" s="87"/>
    </row>
    <row r="7" spans="2:20">
      <c r="B7" t="s">
        <v>3110</v>
      </c>
      <c r="S7" s="13" t="str">
        <f>Show!$B$155&amp;"SR.26.07.01.01 Table label {"&amp;COLUMN($C$1)&amp;"}"</f>
        <v>!SR.26.07.01.01 Table label {3}</v>
      </c>
      <c r="T7" s="13" t="str">
        <f>Show!$B$155&amp;"SR.26.07.01.01 Table value {"&amp;COLUMN($D$1)&amp;"}"</f>
        <v>!SR.26.07.01.01 Table value {4}</v>
      </c>
    </row>
    <row r="8" spans="2:20">
      <c r="B8" t="s">
        <v>3111</v>
      </c>
    </row>
    <row r="9" spans="2:20">
      <c r="B9" s="40" t="s">
        <v>4622</v>
      </c>
      <c r="C9" s="53" t="s">
        <v>3113</v>
      </c>
      <c r="D9" s="51"/>
    </row>
    <row r="10" spans="2:20">
      <c r="B10" s="40" t="s">
        <v>3788</v>
      </c>
      <c r="C10" s="53" t="s">
        <v>3115</v>
      </c>
      <c r="D10" s="51"/>
    </row>
    <row r="11" spans="2:20">
      <c r="B11" s="40" t="s">
        <v>3114</v>
      </c>
      <c r="C11" s="53" t="s">
        <v>3323</v>
      </c>
      <c r="D11" s="50"/>
    </row>
    <row r="12" spans="2:20">
      <c r="S12" s="13" t="str">
        <f>Show!$B$155&amp;Show!$B$155&amp;"SR.26.07.01.01 Table label {"&amp;COLUMN($C$1)&amp;"}"</f>
        <v>!!SR.26.07.01.01 Table label {3}</v>
      </c>
      <c r="T12" s="13" t="str">
        <f>Show!$B$155&amp;Show!$B$155&amp;"SR.26.07.01.01 Table value {"&amp;COLUMN($D$1)&amp;"}"</f>
        <v>!!SR.26.07.01.01 Table value {4}</v>
      </c>
    </row>
    <row r="14" spans="2:20">
      <c r="D14" s="92" t="s">
        <v>2877</v>
      </c>
      <c r="E14" s="93"/>
      <c r="F14" s="93"/>
      <c r="G14" s="93"/>
      <c r="H14" s="93"/>
      <c r="I14" s="93"/>
      <c r="J14" s="93"/>
      <c r="K14" s="94"/>
    </row>
    <row r="15" spans="2:20">
      <c r="D15" s="95"/>
      <c r="E15" s="96"/>
      <c r="F15" s="96"/>
      <c r="G15" s="96"/>
      <c r="H15" s="96"/>
      <c r="I15" s="96"/>
      <c r="J15" s="96"/>
      <c r="K15" s="97"/>
    </row>
    <row r="16" spans="2:20">
      <c r="D16" s="98" t="s">
        <v>3617</v>
      </c>
      <c r="E16" s="100"/>
      <c r="F16" s="100"/>
      <c r="G16" s="100"/>
      <c r="H16" s="100"/>
      <c r="I16" s="100"/>
      <c r="J16" s="100"/>
      <c r="K16" s="99"/>
    </row>
    <row r="17" spans="2:20" ht="30">
      <c r="D17" s="55">
        <v>0</v>
      </c>
      <c r="E17" s="55">
        <v>1</v>
      </c>
      <c r="F17" s="55">
        <v>2</v>
      </c>
      <c r="G17" s="55">
        <v>3</v>
      </c>
      <c r="H17" s="55">
        <v>4</v>
      </c>
      <c r="I17" s="55">
        <v>5</v>
      </c>
      <c r="J17" s="55">
        <v>6</v>
      </c>
      <c r="K17" s="55" t="s">
        <v>2370</v>
      </c>
    </row>
    <row r="18" spans="2:20">
      <c r="D18" s="45" t="s">
        <v>2879</v>
      </c>
      <c r="E18" s="45" t="s">
        <v>3219</v>
      </c>
      <c r="F18" s="45" t="s">
        <v>3225</v>
      </c>
      <c r="G18" s="45" t="s">
        <v>3223</v>
      </c>
      <c r="H18" s="45" t="s">
        <v>3229</v>
      </c>
      <c r="I18" s="45" t="s">
        <v>3231</v>
      </c>
      <c r="J18" s="45" t="s">
        <v>3233</v>
      </c>
      <c r="K18" s="45" t="s">
        <v>3234</v>
      </c>
      <c r="S18" s="13" t="str">
        <f>Show!$B$155&amp;"SR.26.07.01.01 Rows {"&amp;COLUMN($C$1)&amp;"}"&amp;"@ForceFilingCode:true"</f>
        <v>!SR.26.07.01.01 Rows {3}@ForceFilingCode:true</v>
      </c>
      <c r="T18" s="13" t="str">
        <f>Show!$B$155&amp;"SR.26.07.01.01 Columns {"&amp;COLUMN($D$1)&amp;"}"</f>
        <v>!SR.26.07.01.01 Columns {4}</v>
      </c>
    </row>
    <row r="19" spans="2:20">
      <c r="B19" s="43" t="s">
        <v>2880</v>
      </c>
      <c r="C19" s="44" t="s">
        <v>2878</v>
      </c>
      <c r="D19" s="56"/>
      <c r="E19" s="66"/>
      <c r="F19" s="66"/>
      <c r="G19" s="66"/>
      <c r="H19" s="66"/>
      <c r="I19" s="66"/>
      <c r="J19" s="66"/>
      <c r="K19" s="57"/>
    </row>
    <row r="20" spans="2:20">
      <c r="B20" s="47" t="s">
        <v>5045</v>
      </c>
      <c r="C20" s="41" t="s">
        <v>2883</v>
      </c>
      <c r="D20" s="60"/>
      <c r="E20" s="60"/>
      <c r="F20" s="60"/>
      <c r="G20" s="60"/>
      <c r="H20" s="60"/>
      <c r="I20" s="60"/>
      <c r="J20" s="60"/>
      <c r="K20" s="60"/>
    </row>
    <row r="21" spans="2:20">
      <c r="B21" s="47" t="s">
        <v>5046</v>
      </c>
      <c r="C21" s="41" t="s">
        <v>2885</v>
      </c>
      <c r="D21" s="69"/>
      <c r="E21" s="69"/>
      <c r="F21" s="69"/>
      <c r="G21" s="69"/>
      <c r="H21" s="69"/>
      <c r="I21" s="69"/>
      <c r="J21" s="69"/>
      <c r="K21" s="69"/>
    </row>
    <row r="23" spans="2:20">
      <c r="S23" s="13" t="str">
        <f>Show!$B$155&amp;Show!$B$155&amp;"SR.26.07.01.01 Rows {"&amp;COLUMN($C$1)&amp;"}"</f>
        <v>!!SR.26.07.01.01 Rows {3}</v>
      </c>
      <c r="T23" s="13" t="str">
        <f>Show!$B$155&amp;Show!$B$155&amp;"SR.26.07.01.01 Columns {"&amp;COLUMN($K$1)&amp;"}"</f>
        <v>!!SR.26.07.01.01 Columns {11}</v>
      </c>
    </row>
    <row r="25" spans="2:20" ht="18.75">
      <c r="B25" s="88" t="s">
        <v>5085</v>
      </c>
      <c r="C25" s="87"/>
      <c r="D25" s="87"/>
      <c r="E25" s="87"/>
      <c r="F25" s="87"/>
      <c r="G25" s="87"/>
      <c r="H25" s="87"/>
      <c r="I25" s="87"/>
      <c r="J25" s="87"/>
      <c r="K25" s="87"/>
      <c r="L25" s="87"/>
    </row>
    <row r="27" spans="2:20">
      <c r="B27" t="s">
        <v>3110</v>
      </c>
      <c r="S27" s="13" t="str">
        <f>Show!$B$155&amp;"SR.26.07.01.02 Table label {"&amp;COLUMN($C$1)&amp;"}"</f>
        <v>!SR.26.07.01.02 Table label {3}</v>
      </c>
      <c r="T27" s="13" t="str">
        <f>Show!$B$155&amp;"SR.26.07.01.02 Table value {"&amp;COLUMN($D$1)&amp;"}"</f>
        <v>!SR.26.07.01.02 Table value {4}</v>
      </c>
    </row>
    <row r="28" spans="2:20">
      <c r="B28" t="s">
        <v>3111</v>
      </c>
    </row>
    <row r="29" spans="2:20">
      <c r="B29" s="40" t="s">
        <v>4622</v>
      </c>
      <c r="C29" s="53" t="s">
        <v>3113</v>
      </c>
      <c r="D29" s="51"/>
    </row>
    <row r="30" spans="2:20">
      <c r="B30" s="40" t="s">
        <v>3788</v>
      </c>
      <c r="C30" s="53" t="s">
        <v>3115</v>
      </c>
      <c r="D30" s="51"/>
    </row>
    <row r="31" spans="2:20">
      <c r="B31" s="40" t="s">
        <v>3114</v>
      </c>
      <c r="C31" s="53" t="s">
        <v>3323</v>
      </c>
      <c r="D31" s="50"/>
    </row>
    <row r="32" spans="2:20">
      <c r="S32" s="13" t="str">
        <f>Show!$B$155&amp;Show!$B$155&amp;"SR.26.07.01.02 Table label {"&amp;COLUMN($C$1)&amp;"}"</f>
        <v>!!SR.26.07.01.02 Table label {3}</v>
      </c>
      <c r="T32" s="13" t="str">
        <f>Show!$B$155&amp;Show!$B$155&amp;"SR.26.07.01.02 Table value {"&amp;COLUMN($D$1)&amp;"}"</f>
        <v>!!SR.26.07.01.02 Table value {4}</v>
      </c>
    </row>
    <row r="34" spans="2:20">
      <c r="D34" s="89" t="s">
        <v>2877</v>
      </c>
    </row>
    <row r="35" spans="2:20">
      <c r="D35" s="90"/>
    </row>
    <row r="36" spans="2:20">
      <c r="D36" s="91"/>
    </row>
    <row r="37" spans="2:20">
      <c r="D37" s="45" t="s">
        <v>3236</v>
      </c>
      <c r="S37" s="13" t="str">
        <f>Show!$B$155&amp;"SR.26.07.01.02 Rows {"&amp;COLUMN($C$1)&amp;"}"&amp;"@ForceFilingCode:true"</f>
        <v>!SR.26.07.01.02 Rows {3}@ForceFilingCode:true</v>
      </c>
      <c r="T37" s="13" t="str">
        <f>Show!$B$155&amp;"SR.26.07.01.02 Columns {"&amp;COLUMN($D$1)&amp;"}"</f>
        <v>!SR.26.07.01.02 Columns {4}</v>
      </c>
    </row>
    <row r="38" spans="2:20">
      <c r="B38" s="43" t="s">
        <v>2880</v>
      </c>
      <c r="C38" s="44" t="s">
        <v>2878</v>
      </c>
      <c r="D38" s="46"/>
    </row>
    <row r="39" spans="2:20">
      <c r="B39" s="47" t="s">
        <v>5048</v>
      </c>
      <c r="C39" s="41" t="s">
        <v>2887</v>
      </c>
      <c r="D39" s="60"/>
    </row>
    <row r="41" spans="2:20">
      <c r="S41" s="13" t="str">
        <f>Show!$B$155&amp;Show!$B$155&amp;"SR.26.07.01.02 Rows {"&amp;COLUMN($C$1)&amp;"}"</f>
        <v>!!SR.26.07.01.02 Rows {3}</v>
      </c>
      <c r="T41" s="13" t="str">
        <f>Show!$B$155&amp;Show!$B$155&amp;"SR.26.07.01.02 Columns {"&amp;COLUMN($D$1)&amp;"}"</f>
        <v>!!SR.26.07.01.02 Columns {4}</v>
      </c>
    </row>
    <row r="43" spans="2:20" ht="18.75">
      <c r="B43" s="88" t="s">
        <v>5086</v>
      </c>
      <c r="C43" s="87"/>
      <c r="D43" s="87"/>
      <c r="E43" s="87"/>
      <c r="F43" s="87"/>
      <c r="G43" s="87"/>
      <c r="H43" s="87"/>
      <c r="I43" s="87"/>
      <c r="J43" s="87"/>
      <c r="K43" s="87"/>
      <c r="L43" s="87"/>
    </row>
    <row r="45" spans="2:20">
      <c r="B45" t="s">
        <v>3110</v>
      </c>
      <c r="S45" s="13" t="str">
        <f>Show!$B$155&amp;"SR.26.07.01.03 Table label {"&amp;COLUMN($C$1)&amp;"}"</f>
        <v>!SR.26.07.01.03 Table label {3}</v>
      </c>
      <c r="T45" s="13" t="str">
        <f>Show!$B$155&amp;"SR.26.07.01.03 Table value {"&amp;COLUMN($D$1)&amp;"}"</f>
        <v>!SR.26.07.01.03 Table value {4}</v>
      </c>
    </row>
    <row r="46" spans="2:20">
      <c r="B46" t="s">
        <v>3111</v>
      </c>
    </row>
    <row r="47" spans="2:20">
      <c r="B47" s="40" t="s">
        <v>4622</v>
      </c>
      <c r="C47" s="53" t="s">
        <v>3113</v>
      </c>
      <c r="D47" s="51"/>
    </row>
    <row r="48" spans="2:20">
      <c r="B48" s="40" t="s">
        <v>5050</v>
      </c>
      <c r="C48" s="53" t="s">
        <v>3875</v>
      </c>
      <c r="D48" s="51"/>
    </row>
    <row r="49" spans="2:20">
      <c r="B49" s="40" t="s">
        <v>3788</v>
      </c>
      <c r="C49" s="53" t="s">
        <v>3115</v>
      </c>
      <c r="D49" s="51"/>
    </row>
    <row r="50" spans="2:20">
      <c r="B50" s="40" t="s">
        <v>3114</v>
      </c>
      <c r="C50" s="53" t="s">
        <v>3323</v>
      </c>
      <c r="D50" s="50"/>
    </row>
    <row r="51" spans="2:20">
      <c r="S51" s="13" t="str">
        <f>Show!$B$155&amp;Show!$B$155&amp;"SR.26.07.01.03 Table label {"&amp;COLUMN($C$1)&amp;"}"</f>
        <v>!!SR.26.07.01.03 Table label {3}</v>
      </c>
      <c r="T51" s="13" t="str">
        <f>Show!$B$155&amp;Show!$B$155&amp;"SR.26.07.01.03 Table value {"&amp;COLUMN($D$1)&amp;"}"</f>
        <v>!!SR.26.07.01.03 Table value {4}</v>
      </c>
    </row>
    <row r="53" spans="2:20">
      <c r="D53" s="92" t="s">
        <v>2877</v>
      </c>
      <c r="E53" s="94"/>
    </row>
    <row r="54" spans="2:20">
      <c r="D54" s="95"/>
      <c r="E54" s="97"/>
    </row>
    <row r="55" spans="2:20">
      <c r="D55" s="98" t="s">
        <v>5022</v>
      </c>
      <c r="E55" s="99"/>
    </row>
    <row r="56" spans="2:20" ht="30">
      <c r="D56" s="55" t="s">
        <v>5051</v>
      </c>
      <c r="E56" s="55" t="s">
        <v>5052</v>
      </c>
    </row>
    <row r="57" spans="2:20">
      <c r="D57" s="45" t="s">
        <v>3239</v>
      </c>
      <c r="E57" s="45" t="s">
        <v>3241</v>
      </c>
      <c r="S57" s="13" t="str">
        <f>Show!$B$155&amp;"SR.26.07.01.03 Rows {"&amp;COLUMN($C$1)&amp;"}"&amp;"@ForceFilingCode:true"</f>
        <v>!SR.26.07.01.03 Rows {3}@ForceFilingCode:true</v>
      </c>
      <c r="T57" s="13" t="str">
        <f>Show!$B$155&amp;"SR.26.07.01.03 Columns {"&amp;COLUMN($D$1)&amp;"}"</f>
        <v>!SR.26.07.01.03 Columns {4}</v>
      </c>
    </row>
    <row r="58" spans="2:20">
      <c r="B58" s="43" t="s">
        <v>2880</v>
      </c>
      <c r="C58" s="44" t="s">
        <v>2878</v>
      </c>
      <c r="D58" s="56"/>
      <c r="E58" s="57"/>
    </row>
    <row r="59" spans="2:20">
      <c r="B59" s="47" t="s">
        <v>3606</v>
      </c>
      <c r="C59" s="41" t="s">
        <v>2889</v>
      </c>
      <c r="D59" s="60"/>
      <c r="E59" s="60"/>
    </row>
    <row r="61" spans="2:20">
      <c r="S61" s="13" t="str">
        <f>Show!$B$155&amp;Show!$B$155&amp;"SR.26.07.01.03 Rows {"&amp;COLUMN($C$1)&amp;"}"</f>
        <v>!!SR.26.07.01.03 Rows {3}</v>
      </c>
      <c r="T61" s="13" t="str">
        <f>Show!$B$155&amp;Show!$B$155&amp;"SR.26.07.01.03 Columns {"&amp;COLUMN($E$1)&amp;"}"</f>
        <v>!!SR.26.07.01.03 Columns {5}</v>
      </c>
    </row>
    <row r="63" spans="2:20" ht="18.75">
      <c r="B63" s="88" t="s">
        <v>5087</v>
      </c>
      <c r="C63" s="87"/>
      <c r="D63" s="87"/>
      <c r="E63" s="87"/>
      <c r="F63" s="87"/>
      <c r="G63" s="87"/>
      <c r="H63" s="87"/>
      <c r="I63" s="87"/>
      <c r="J63" s="87"/>
      <c r="K63" s="87"/>
      <c r="L63" s="87"/>
    </row>
    <row r="65" spans="2:20">
      <c r="B65" t="s">
        <v>3110</v>
      </c>
      <c r="S65" s="13" t="str">
        <f>Show!$B$155&amp;"SR.26.07.01.04 Table label {"&amp;COLUMN($C$1)&amp;"}"</f>
        <v>!SR.26.07.01.04 Table label {3}</v>
      </c>
      <c r="T65" s="13" t="str">
        <f>Show!$B$155&amp;"SR.26.07.01.04 Table value {"&amp;COLUMN($D$1)&amp;"}"</f>
        <v>!SR.26.07.01.04 Table value {4}</v>
      </c>
    </row>
    <row r="66" spans="2:20">
      <c r="B66" t="s">
        <v>3111</v>
      </c>
    </row>
    <row r="67" spans="2:20">
      <c r="B67" s="40" t="s">
        <v>4622</v>
      </c>
      <c r="C67" s="53" t="s">
        <v>3113</v>
      </c>
      <c r="D67" s="51"/>
    </row>
    <row r="68" spans="2:20">
      <c r="B68" s="40" t="s">
        <v>3788</v>
      </c>
      <c r="C68" s="53" t="s">
        <v>3115</v>
      </c>
      <c r="D68" s="51"/>
    </row>
    <row r="69" spans="2:20">
      <c r="B69" s="40" t="s">
        <v>3114</v>
      </c>
      <c r="C69" s="53" t="s">
        <v>3323</v>
      </c>
      <c r="D69" s="50"/>
    </row>
    <row r="70" spans="2:20">
      <c r="S70" s="13" t="str">
        <f>Show!$B$155&amp;Show!$B$155&amp;"SR.26.07.01.04 Table label {"&amp;COLUMN($C$1)&amp;"}"</f>
        <v>!!SR.26.07.01.04 Table label {3}</v>
      </c>
      <c r="T70" s="13" t="str">
        <f>Show!$B$155&amp;Show!$B$155&amp;"SR.26.07.01.04 Table value {"&amp;COLUMN($D$1)&amp;"}"</f>
        <v>!!SR.26.07.01.04 Table value {4}</v>
      </c>
    </row>
    <row r="72" spans="2:20">
      <c r="D72" s="92" t="s">
        <v>2877</v>
      </c>
      <c r="E72" s="93"/>
      <c r="F72" s="93"/>
      <c r="G72" s="93"/>
      <c r="H72" s="93"/>
      <c r="I72" s="93"/>
      <c r="J72" s="93"/>
      <c r="K72" s="93"/>
      <c r="L72" s="93"/>
      <c r="M72" s="93"/>
      <c r="N72" s="94"/>
    </row>
    <row r="73" spans="2:20">
      <c r="D73" s="95"/>
      <c r="E73" s="96"/>
      <c r="F73" s="96"/>
      <c r="G73" s="96"/>
      <c r="H73" s="96"/>
      <c r="I73" s="96"/>
      <c r="J73" s="96"/>
      <c r="K73" s="96"/>
      <c r="L73" s="96"/>
      <c r="M73" s="96"/>
      <c r="N73" s="97"/>
    </row>
    <row r="74" spans="2:20">
      <c r="D74" s="89" t="s">
        <v>5054</v>
      </c>
      <c r="E74" s="89" t="s">
        <v>5055</v>
      </c>
      <c r="F74" s="89" t="s">
        <v>5056</v>
      </c>
      <c r="G74" s="89" t="s">
        <v>3292</v>
      </c>
      <c r="H74" s="89" t="s">
        <v>5057</v>
      </c>
      <c r="I74" s="89" t="s">
        <v>5058</v>
      </c>
      <c r="J74" s="89" t="s">
        <v>5046</v>
      </c>
      <c r="K74" s="89" t="s">
        <v>5059</v>
      </c>
      <c r="L74" s="89" t="s">
        <v>5060</v>
      </c>
      <c r="M74" s="89" t="s">
        <v>5061</v>
      </c>
      <c r="N74" s="89" t="s">
        <v>5062</v>
      </c>
    </row>
    <row r="75" spans="2:20">
      <c r="D75" s="91"/>
      <c r="E75" s="91"/>
      <c r="F75" s="91"/>
      <c r="G75" s="91"/>
      <c r="H75" s="91"/>
      <c r="I75" s="91"/>
      <c r="J75" s="91"/>
      <c r="K75" s="91"/>
      <c r="L75" s="91"/>
      <c r="M75" s="91"/>
      <c r="N75" s="91"/>
    </row>
    <row r="76" spans="2:20">
      <c r="D76" s="45" t="s">
        <v>3243</v>
      </c>
      <c r="E76" s="45" t="s">
        <v>3375</v>
      </c>
      <c r="F76" s="45" t="s">
        <v>3475</v>
      </c>
      <c r="G76" s="45" t="s">
        <v>3477</v>
      </c>
      <c r="H76" s="45" t="s">
        <v>3479</v>
      </c>
      <c r="I76" s="45" t="s">
        <v>3594</v>
      </c>
      <c r="J76" s="45" t="s">
        <v>3596</v>
      </c>
      <c r="K76" s="45" t="s">
        <v>3599</v>
      </c>
      <c r="L76" s="45" t="s">
        <v>3481</v>
      </c>
      <c r="M76" s="45" t="s">
        <v>3508</v>
      </c>
      <c r="N76" s="45" t="s">
        <v>3509</v>
      </c>
      <c r="S76" s="13" t="str">
        <f>Show!$B$155&amp;"SR.26.07.01.04 Rows {"&amp;COLUMN($C$1)&amp;"}"&amp;"@ForceFilingCode:true"</f>
        <v>!SR.26.07.01.04 Rows {3}@ForceFilingCode:true</v>
      </c>
      <c r="T76" s="13" t="str">
        <f>Show!$B$155&amp;"SR.26.07.01.04 Columns {"&amp;COLUMN($D$1)&amp;"}"</f>
        <v>!SR.26.07.01.04 Columns {4}</v>
      </c>
    </row>
    <row r="77" spans="2:20">
      <c r="B77" s="43" t="s">
        <v>2880</v>
      </c>
      <c r="C77" s="44" t="s">
        <v>2878</v>
      </c>
      <c r="D77" s="56"/>
      <c r="E77" s="67"/>
      <c r="F77" s="67"/>
      <c r="G77" s="67"/>
      <c r="H77" s="66"/>
      <c r="I77" s="67"/>
      <c r="J77" s="66"/>
      <c r="K77" s="67"/>
      <c r="L77" s="67"/>
      <c r="M77" s="67"/>
      <c r="N77" s="59"/>
    </row>
    <row r="78" spans="2:20">
      <c r="B78" s="47" t="s">
        <v>4879</v>
      </c>
      <c r="C78" s="41" t="s">
        <v>2899</v>
      </c>
      <c r="D78" s="65"/>
      <c r="E78" s="58"/>
      <c r="F78" s="58"/>
      <c r="G78" s="46"/>
      <c r="H78" s="71"/>
      <c r="I78" s="48"/>
      <c r="J78" s="79"/>
      <c r="K78" s="58"/>
      <c r="L78" s="58"/>
      <c r="M78" s="58"/>
      <c r="N78" s="48"/>
    </row>
    <row r="79" spans="2:20">
      <c r="B79" s="47" t="s">
        <v>4880</v>
      </c>
      <c r="C79" s="44" t="s">
        <v>2901</v>
      </c>
      <c r="D79" s="56"/>
      <c r="E79" s="56"/>
      <c r="F79" s="48"/>
      <c r="G79" s="60"/>
      <c r="H79" s="71"/>
      <c r="I79" s="46"/>
      <c r="J79" s="79"/>
      <c r="K79" s="58"/>
      <c r="L79" s="56"/>
      <c r="M79" s="58"/>
      <c r="N79" s="48"/>
    </row>
    <row r="80" spans="2:20">
      <c r="B80" s="47" t="s">
        <v>4881</v>
      </c>
      <c r="C80" s="41" t="s">
        <v>2903</v>
      </c>
      <c r="D80" s="63"/>
      <c r="E80" s="65"/>
      <c r="F80" s="48"/>
      <c r="G80" s="63"/>
      <c r="H80" s="76"/>
      <c r="I80" s="76"/>
      <c r="J80" s="80"/>
      <c r="K80" s="48"/>
      <c r="L80" s="78"/>
      <c r="M80" s="58"/>
      <c r="N80" s="48"/>
    </row>
    <row r="81" spans="2:20">
      <c r="B81" s="47" t="s">
        <v>4882</v>
      </c>
      <c r="C81" s="44" t="s">
        <v>2878</v>
      </c>
      <c r="D81" s="58"/>
      <c r="E81" s="67"/>
      <c r="F81" s="66"/>
      <c r="G81" s="67"/>
      <c r="H81" s="66"/>
      <c r="I81" s="67"/>
      <c r="J81" s="67"/>
      <c r="K81" s="66"/>
      <c r="L81" s="67"/>
      <c r="M81" s="67"/>
      <c r="N81" s="59"/>
    </row>
    <row r="82" spans="2:20">
      <c r="B82" s="49" t="s">
        <v>5063</v>
      </c>
      <c r="C82" s="44" t="s">
        <v>2905</v>
      </c>
      <c r="D82" s="58"/>
      <c r="E82" s="48"/>
      <c r="F82" s="64"/>
      <c r="G82" s="48"/>
      <c r="H82" s="71"/>
      <c r="I82" s="58"/>
      <c r="J82" s="48"/>
      <c r="K82" s="79"/>
      <c r="L82" s="58"/>
      <c r="M82" s="58"/>
      <c r="N82" s="48"/>
    </row>
    <row r="83" spans="2:20">
      <c r="B83" s="49" t="s">
        <v>5064</v>
      </c>
      <c r="C83" s="44" t="s">
        <v>2907</v>
      </c>
      <c r="D83" s="58"/>
      <c r="E83" s="48"/>
      <c r="F83" s="65"/>
      <c r="G83" s="48"/>
      <c r="H83" s="78"/>
      <c r="I83" s="58"/>
      <c r="J83" s="46"/>
      <c r="K83" s="80"/>
      <c r="L83" s="58"/>
      <c r="M83" s="56"/>
      <c r="N83" s="46"/>
    </row>
    <row r="84" spans="2:20">
      <c r="B84" s="47" t="s">
        <v>4886</v>
      </c>
      <c r="C84" s="44" t="s">
        <v>2909</v>
      </c>
      <c r="D84" s="56"/>
      <c r="E84" s="58"/>
      <c r="F84" s="58"/>
      <c r="G84" s="58"/>
      <c r="H84" s="58"/>
      <c r="I84" s="48"/>
      <c r="J84" s="80"/>
      <c r="K84" s="58"/>
      <c r="L84" s="48"/>
      <c r="M84" s="63"/>
      <c r="N84" s="76"/>
    </row>
    <row r="85" spans="2:20">
      <c r="B85" s="47" t="s">
        <v>4888</v>
      </c>
      <c r="C85" s="41" t="s">
        <v>2911</v>
      </c>
      <c r="D85" s="65"/>
      <c r="E85" s="58"/>
      <c r="F85" s="58"/>
      <c r="G85" s="58"/>
      <c r="H85" s="58"/>
      <c r="I85" s="58"/>
      <c r="J85" s="58"/>
      <c r="K85" s="58"/>
      <c r="L85" s="58"/>
      <c r="M85" s="58"/>
      <c r="N85" s="48"/>
    </row>
    <row r="86" spans="2:20">
      <c r="B86" s="47" t="s">
        <v>4629</v>
      </c>
      <c r="C86" s="44" t="s">
        <v>2878</v>
      </c>
      <c r="D86" s="56"/>
      <c r="E86" s="67"/>
      <c r="F86" s="67"/>
      <c r="G86" s="67"/>
      <c r="H86" s="66"/>
      <c r="I86" s="67"/>
      <c r="J86" s="66"/>
      <c r="K86" s="67"/>
      <c r="L86" s="67"/>
      <c r="M86" s="67"/>
      <c r="N86" s="59"/>
    </row>
    <row r="87" spans="2:20">
      <c r="B87" s="49" t="s">
        <v>4910</v>
      </c>
      <c r="C87" s="41" t="s">
        <v>2919</v>
      </c>
      <c r="D87" s="65"/>
      <c r="E87" s="58"/>
      <c r="F87" s="58"/>
      <c r="G87" s="46"/>
      <c r="H87" s="71"/>
      <c r="I87" s="48"/>
      <c r="J87" s="79"/>
      <c r="K87" s="58"/>
      <c r="L87" s="58"/>
      <c r="M87" s="58"/>
      <c r="N87" s="48"/>
    </row>
    <row r="88" spans="2:20">
      <c r="B88" s="49" t="s">
        <v>4911</v>
      </c>
      <c r="C88" s="44" t="s">
        <v>2921</v>
      </c>
      <c r="D88" s="58"/>
      <c r="E88" s="58"/>
      <c r="F88" s="48"/>
      <c r="G88" s="63"/>
      <c r="H88" s="78"/>
      <c r="I88" s="48"/>
      <c r="J88" s="79"/>
      <c r="K88" s="58"/>
      <c r="L88" s="58"/>
      <c r="M88" s="56"/>
      <c r="N88" s="46"/>
    </row>
    <row r="89" spans="2:20">
      <c r="B89" s="49" t="s">
        <v>5065</v>
      </c>
      <c r="C89" s="44" t="s">
        <v>2923</v>
      </c>
      <c r="D89" s="56"/>
      <c r="E89" s="56"/>
      <c r="F89" s="58"/>
      <c r="G89" s="56"/>
      <c r="H89" s="56"/>
      <c r="I89" s="46"/>
      <c r="J89" s="79"/>
      <c r="K89" s="58"/>
      <c r="L89" s="46"/>
      <c r="M89" s="63"/>
      <c r="N89" s="76"/>
    </row>
    <row r="90" spans="2:20">
      <c r="B90" s="49" t="s">
        <v>5066</v>
      </c>
      <c r="C90" s="41" t="s">
        <v>2925</v>
      </c>
      <c r="D90" s="63"/>
      <c r="E90" s="65"/>
      <c r="F90" s="48"/>
      <c r="G90" s="63"/>
      <c r="H90" s="76"/>
      <c r="I90" s="76"/>
      <c r="J90" s="80"/>
      <c r="K90" s="48"/>
      <c r="L90" s="78"/>
      <c r="M90" s="58"/>
      <c r="N90" s="48"/>
    </row>
    <row r="91" spans="2:20">
      <c r="B91" s="47" t="s">
        <v>5067</v>
      </c>
      <c r="C91" s="44" t="s">
        <v>2878</v>
      </c>
      <c r="D91" s="58"/>
      <c r="E91" s="67"/>
      <c r="F91" s="66"/>
      <c r="G91" s="67"/>
      <c r="H91" s="66"/>
      <c r="I91" s="67"/>
      <c r="J91" s="67"/>
      <c r="K91" s="66"/>
      <c r="L91" s="67"/>
      <c r="M91" s="67"/>
      <c r="N91" s="59"/>
    </row>
    <row r="92" spans="2:20">
      <c r="B92" s="49" t="s">
        <v>5063</v>
      </c>
      <c r="C92" s="44" t="s">
        <v>2927</v>
      </c>
      <c r="D92" s="58"/>
      <c r="E92" s="48"/>
      <c r="F92" s="64"/>
      <c r="G92" s="48"/>
      <c r="H92" s="71"/>
      <c r="I92" s="58"/>
      <c r="J92" s="48"/>
      <c r="K92" s="79"/>
      <c r="L92" s="58"/>
      <c r="M92" s="58"/>
      <c r="N92" s="48"/>
    </row>
    <row r="93" spans="2:20">
      <c r="B93" s="49" t="s">
        <v>5064</v>
      </c>
      <c r="C93" s="44" t="s">
        <v>2929</v>
      </c>
      <c r="D93" s="58"/>
      <c r="E93" s="48"/>
      <c r="F93" s="65"/>
      <c r="G93" s="48"/>
      <c r="H93" s="78"/>
      <c r="I93" s="58"/>
      <c r="J93" s="46"/>
      <c r="K93" s="80"/>
      <c r="L93" s="58"/>
      <c r="M93" s="56"/>
      <c r="N93" s="46"/>
    </row>
    <row r="94" spans="2:20">
      <c r="B94" s="47" t="s">
        <v>4918</v>
      </c>
      <c r="C94" s="44" t="s">
        <v>2931</v>
      </c>
      <c r="D94" s="56"/>
      <c r="E94" s="56"/>
      <c r="F94" s="56"/>
      <c r="G94" s="56"/>
      <c r="H94" s="56"/>
      <c r="I94" s="46"/>
      <c r="J94" s="79"/>
      <c r="K94" s="56"/>
      <c r="L94" s="46"/>
      <c r="M94" s="60"/>
      <c r="N94" s="70"/>
    </row>
    <row r="96" spans="2:20">
      <c r="S96" s="13" t="str">
        <f>Show!$B$155&amp;Show!$B$155&amp;"SR.26.07.01.04 Rows {"&amp;COLUMN($C$1)&amp;"}"</f>
        <v>!!SR.26.07.01.04 Rows {3}</v>
      </c>
      <c r="T96" s="13" t="str">
        <f>Show!$B$155&amp;Show!$B$155&amp;"SR.26.07.01.04 Columns {"&amp;COLUMN($N$1)&amp;"}"</f>
        <v>!!SR.26.07.01.04 Columns {14}</v>
      </c>
    </row>
    <row r="98" spans="2:20" ht="18.75">
      <c r="B98" s="88" t="s">
        <v>5088</v>
      </c>
      <c r="C98" s="87"/>
      <c r="D98" s="87"/>
      <c r="E98" s="87"/>
      <c r="F98" s="87"/>
      <c r="G98" s="87"/>
      <c r="H98" s="87"/>
      <c r="I98" s="87"/>
      <c r="J98" s="87"/>
      <c r="K98" s="87"/>
      <c r="L98" s="87"/>
    </row>
    <row r="100" spans="2:20">
      <c r="B100" t="s">
        <v>3110</v>
      </c>
      <c r="S100" s="13" t="str">
        <f>Show!$B$155&amp;"SR.26.07.01.05 Table label {"&amp;COLUMN($C$1)&amp;"}"</f>
        <v>!SR.26.07.01.05 Table label {3}</v>
      </c>
      <c r="T100" s="13" t="str">
        <f>Show!$B$155&amp;"SR.26.07.01.05 Table value {"&amp;COLUMN($D$1)&amp;"}"</f>
        <v>!SR.26.07.01.05 Table value {4}</v>
      </c>
    </row>
    <row r="101" spans="2:20">
      <c r="B101" t="s">
        <v>3111</v>
      </c>
    </row>
    <row r="102" spans="2:20">
      <c r="B102" s="40" t="s">
        <v>4622</v>
      </c>
      <c r="C102" s="53" t="s">
        <v>3113</v>
      </c>
      <c r="D102" s="51"/>
    </row>
    <row r="103" spans="2:20">
      <c r="B103" s="40" t="s">
        <v>3788</v>
      </c>
      <c r="C103" s="53" t="s">
        <v>3115</v>
      </c>
      <c r="D103" s="51"/>
    </row>
    <row r="104" spans="2:20">
      <c r="B104" s="40" t="s">
        <v>3114</v>
      </c>
      <c r="C104" s="53" t="s">
        <v>3323</v>
      </c>
      <c r="D104" s="50"/>
    </row>
    <row r="105" spans="2:20">
      <c r="S105" s="13" t="str">
        <f>Show!$B$155&amp;Show!$B$155&amp;"SR.26.07.01.05 Table label {"&amp;COLUMN($C$1)&amp;"}"</f>
        <v>!!SR.26.07.01.05 Table label {3}</v>
      </c>
      <c r="T105" s="13" t="str">
        <f>Show!$B$155&amp;Show!$B$155&amp;"SR.26.07.01.05 Table value {"&amp;COLUMN($D$1)&amp;"}"</f>
        <v>!!SR.26.07.01.05 Table value {4}</v>
      </c>
    </row>
    <row r="107" spans="2:20">
      <c r="D107" s="89" t="s">
        <v>2877</v>
      </c>
    </row>
    <row r="108" spans="2:20">
      <c r="D108" s="90"/>
    </row>
    <row r="109" spans="2:20">
      <c r="D109" s="91"/>
    </row>
    <row r="110" spans="2:20">
      <c r="D110" s="45" t="s">
        <v>3519</v>
      </c>
      <c r="S110" s="13" t="str">
        <f>Show!$B$155&amp;"SR.26.07.01.05 Rows {"&amp;COLUMN($C$1)&amp;"}"&amp;"@ForceFilingCode:true"</f>
        <v>!SR.26.07.01.05 Rows {3}@ForceFilingCode:true</v>
      </c>
      <c r="T110" s="13" t="str">
        <f>Show!$B$155&amp;"SR.26.07.01.05 Columns {"&amp;COLUMN($D$1)&amp;"}"</f>
        <v>!SR.26.07.01.05 Columns {4}</v>
      </c>
    </row>
    <row r="111" spans="2:20">
      <c r="B111" s="43" t="s">
        <v>2880</v>
      </c>
      <c r="C111" s="44" t="s">
        <v>2878</v>
      </c>
      <c r="D111" s="46"/>
    </row>
    <row r="112" spans="2:20">
      <c r="B112" s="47" t="s">
        <v>5069</v>
      </c>
      <c r="C112" s="41" t="s">
        <v>2939</v>
      </c>
      <c r="D112" s="60"/>
    </row>
    <row r="114" spans="2:20">
      <c r="S114" s="13" t="str">
        <f>Show!$B$155&amp;Show!$B$155&amp;"SR.26.07.01.05 Rows {"&amp;COLUMN($C$1)&amp;"}"</f>
        <v>!!SR.26.07.01.05 Rows {3}</v>
      </c>
      <c r="T114" s="13" t="str">
        <f>Show!$B$155&amp;Show!$B$155&amp;"SR.26.07.01.05 Columns {"&amp;COLUMN($D$1)&amp;"}"</f>
        <v>!!SR.26.07.01.05 Columns {4}</v>
      </c>
    </row>
    <row r="116" spans="2:20" ht="18.75">
      <c r="B116" s="88" t="s">
        <v>5089</v>
      </c>
      <c r="C116" s="87"/>
      <c r="D116" s="87"/>
      <c r="E116" s="87"/>
      <c r="F116" s="87"/>
      <c r="G116" s="87"/>
      <c r="H116" s="87"/>
      <c r="I116" s="87"/>
      <c r="J116" s="87"/>
      <c r="K116" s="87"/>
      <c r="L116" s="87"/>
    </row>
    <row r="118" spans="2:20">
      <c r="B118" t="s">
        <v>3110</v>
      </c>
      <c r="S118" s="13" t="str">
        <f>Show!$B$155&amp;"SR.26.07.01.06 Table label {"&amp;COLUMN($C$1)&amp;"}"</f>
        <v>!SR.26.07.01.06 Table label {3}</v>
      </c>
      <c r="T118" s="13" t="str">
        <f>Show!$B$155&amp;"SR.26.07.01.06 Table value {"&amp;COLUMN($D$1)&amp;"}"</f>
        <v>!SR.26.07.01.06 Table value {4}</v>
      </c>
    </row>
    <row r="119" spans="2:20">
      <c r="B119" t="s">
        <v>3111</v>
      </c>
    </row>
    <row r="120" spans="2:20">
      <c r="B120" s="40" t="s">
        <v>4622</v>
      </c>
      <c r="C120" s="53" t="s">
        <v>3113</v>
      </c>
      <c r="D120" s="51"/>
    </row>
    <row r="121" spans="2:20">
      <c r="B121" s="40" t="s">
        <v>3788</v>
      </c>
      <c r="C121" s="53" t="s">
        <v>3115</v>
      </c>
      <c r="D121" s="51"/>
    </row>
    <row r="122" spans="2:20">
      <c r="B122" s="40" t="s">
        <v>3114</v>
      </c>
      <c r="C122" s="53" t="s">
        <v>3323</v>
      </c>
      <c r="D122" s="50"/>
    </row>
    <row r="123" spans="2:20">
      <c r="S123" s="13" t="str">
        <f>Show!$B$155&amp;Show!$B$155&amp;"SR.26.07.01.06 Table label {"&amp;COLUMN($C$1)&amp;"}"</f>
        <v>!!SR.26.07.01.06 Table label {3}</v>
      </c>
      <c r="T123" s="13" t="str">
        <f>Show!$B$155&amp;Show!$B$155&amp;"SR.26.07.01.06 Table value {"&amp;COLUMN($D$1)&amp;"}"</f>
        <v>!!SR.26.07.01.06 Table value {4}</v>
      </c>
    </row>
    <row r="125" spans="2:20">
      <c r="D125" s="92" t="s">
        <v>2877</v>
      </c>
      <c r="E125" s="94"/>
    </row>
    <row r="126" spans="2:20">
      <c r="D126" s="95"/>
      <c r="E126" s="97"/>
    </row>
    <row r="127" spans="2:20" ht="30">
      <c r="D127" s="55" t="s">
        <v>5071</v>
      </c>
      <c r="E127" s="55" t="s">
        <v>5072</v>
      </c>
    </row>
    <row r="128" spans="2:20">
      <c r="D128" s="45" t="s">
        <v>3614</v>
      </c>
      <c r="E128" s="45" t="s">
        <v>3616</v>
      </c>
      <c r="S128" s="13" t="str">
        <f>Show!$B$155&amp;"SR.26.07.01.06 Rows {"&amp;COLUMN($C$1)&amp;"}"&amp;"@ForceFilingCode:true"</f>
        <v>!SR.26.07.01.06 Rows {3}@ForceFilingCode:true</v>
      </c>
      <c r="T128" s="13" t="str">
        <f>Show!$B$155&amp;"SR.26.07.01.06 Columns {"&amp;COLUMN($D$1)&amp;"}"</f>
        <v>!SR.26.07.01.06 Columns {4}</v>
      </c>
    </row>
    <row r="129" spans="2:20">
      <c r="B129" s="43" t="s">
        <v>2880</v>
      </c>
      <c r="C129" s="44" t="s">
        <v>2878</v>
      </c>
      <c r="D129" s="56"/>
      <c r="E129" s="57"/>
    </row>
    <row r="130" spans="2:20">
      <c r="B130" s="47" t="s">
        <v>5073</v>
      </c>
      <c r="C130" s="41" t="s">
        <v>2959</v>
      </c>
      <c r="D130" s="70"/>
      <c r="E130" s="60"/>
    </row>
    <row r="131" spans="2:20">
      <c r="B131" s="47" t="s">
        <v>5074</v>
      </c>
      <c r="C131" s="41" t="s">
        <v>2961</v>
      </c>
      <c r="D131" s="70"/>
      <c r="E131" s="60"/>
    </row>
    <row r="132" spans="2:20">
      <c r="B132" s="47" t="s">
        <v>5075</v>
      </c>
      <c r="C132" s="41" t="s">
        <v>2963</v>
      </c>
      <c r="D132" s="70"/>
      <c r="E132" s="60"/>
    </row>
    <row r="133" spans="2:20">
      <c r="B133" s="47" t="s">
        <v>5076</v>
      </c>
      <c r="C133" s="41" t="s">
        <v>2965</v>
      </c>
      <c r="D133" s="70"/>
      <c r="E133" s="60"/>
    </row>
    <row r="134" spans="2:20">
      <c r="B134" s="47" t="s">
        <v>5077</v>
      </c>
      <c r="C134" s="41" t="s">
        <v>2967</v>
      </c>
      <c r="D134" s="70"/>
      <c r="E134" s="60"/>
    </row>
    <row r="136" spans="2:20">
      <c r="S136" s="13" t="str">
        <f>Show!$B$155&amp;Show!$B$155&amp;"SR.26.07.01.06 Rows {"&amp;COLUMN($C$1)&amp;"}"</f>
        <v>!!SR.26.07.01.06 Rows {3}</v>
      </c>
      <c r="T136" s="13" t="str">
        <f>Show!$B$155&amp;Show!$B$155&amp;"SR.26.07.01.06 Columns {"&amp;COLUMN($E$1)&amp;"}"</f>
        <v>!!SR.26.07.01.06 Columns {5}</v>
      </c>
    </row>
  </sheetData>
  <sheetProtection sheet="1" objects="1" scenarios="1"/>
  <mergeCells count="26">
    <mergeCell ref="D34:D36"/>
    <mergeCell ref="B2:O2"/>
    <mergeCell ref="B5:L5"/>
    <mergeCell ref="D14:K15"/>
    <mergeCell ref="D16:K16"/>
    <mergeCell ref="B25:L25"/>
    <mergeCell ref="M74:M75"/>
    <mergeCell ref="N74:N75"/>
    <mergeCell ref="B43:L43"/>
    <mergeCell ref="D53:E54"/>
    <mergeCell ref="D55:E55"/>
    <mergeCell ref="B63:L63"/>
    <mergeCell ref="D72:N73"/>
    <mergeCell ref="D74:D75"/>
    <mergeCell ref="E74:E75"/>
    <mergeCell ref="F74:F75"/>
    <mergeCell ref="G74:G75"/>
    <mergeCell ref="H74:H75"/>
    <mergeCell ref="B98:L98"/>
    <mergeCell ref="D107:D109"/>
    <mergeCell ref="B116:L116"/>
    <mergeCell ref="D125:E126"/>
    <mergeCell ref="I74:I75"/>
    <mergeCell ref="J74:J75"/>
    <mergeCell ref="K74:K75"/>
    <mergeCell ref="L74:L75"/>
  </mergeCells>
  <dataValidations count="3">
    <dataValidation type="list" errorStyle="warning" allowBlank="1" showInputMessage="1" showErrorMessage="1" sqref="D9 D29 D47 D67 D102 D120" xr:uid="{1B598CDA-7E70-43C9-BDDA-ABE3CAD26732}">
      <formula1>hier_AO_1</formula1>
    </dataValidation>
    <dataValidation type="list" errorStyle="warning" allowBlank="1" showInputMessage="1" showErrorMessage="1" sqref="D10 D30 D49 D68 D103 D121" xr:uid="{ABC75460-8C34-486C-B8DB-BFCB7349EE96}">
      <formula1>hier_PU_20</formula1>
    </dataValidation>
    <dataValidation type="list" errorStyle="warning" allowBlank="1" showInputMessage="1" showErrorMessage="1" sqref="D48" xr:uid="{C3818EFD-C7E1-4E5A-A475-310726F8613E}">
      <formula1>hier_CU_5</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CDD40-4B7B-48B5-8FA7-26CA35828541}">
  <sheetPr codeName="Blad16"/>
  <dimension ref="B2:O20"/>
  <sheetViews>
    <sheetView showGridLines="0" workbookViewId="0"/>
  </sheetViews>
  <sheetFormatPr defaultRowHeight="15"/>
  <cols>
    <col min="2" max="2" width="44.28515625" bestFit="1" customWidth="1"/>
    <col min="4" max="4" width="40.7109375" customWidth="1"/>
  </cols>
  <sheetData>
    <row r="2" spans="2:15" ht="23.25">
      <c r="B2" s="86" t="s">
        <v>512</v>
      </c>
      <c r="C2" s="87"/>
      <c r="D2" s="87"/>
      <c r="E2" s="87"/>
      <c r="F2" s="87"/>
      <c r="G2" s="87"/>
      <c r="H2" s="87"/>
      <c r="I2" s="87"/>
      <c r="J2" s="87"/>
      <c r="K2" s="87"/>
      <c r="L2" s="87"/>
      <c r="M2" s="87"/>
      <c r="N2" s="87"/>
      <c r="O2" s="87"/>
    </row>
    <row r="5" spans="2:15" ht="18.75">
      <c r="B5" s="88" t="s">
        <v>3107</v>
      </c>
      <c r="C5" s="87"/>
      <c r="D5" s="87"/>
      <c r="E5" s="87"/>
      <c r="F5" s="87"/>
      <c r="G5" s="87"/>
      <c r="H5" s="87"/>
      <c r="I5" s="87"/>
      <c r="J5" s="87"/>
      <c r="K5" s="87"/>
      <c r="L5" s="87"/>
    </row>
    <row r="9" spans="2:15">
      <c r="D9" s="89" t="s">
        <v>2877</v>
      </c>
    </row>
    <row r="10" spans="2:15">
      <c r="D10" s="90"/>
    </row>
    <row r="11" spans="2:15">
      <c r="D11" s="90"/>
    </row>
    <row r="12" spans="2:15">
      <c r="D12" s="91"/>
    </row>
    <row r="13" spans="2:15">
      <c r="D13" s="45" t="s">
        <v>2879</v>
      </c>
      <c r="I13" s="13" t="str">
        <f>IF(COUNTIF(D:D,"Reported")&gt;0,Show!$B$12,"!")&amp;"S.01.01.14.01 Rows {"&amp;COLUMN($C$1)&amp;"}"&amp;"@ForceFilingCode:true"</f>
        <v>!S.01.01.14.01 Rows {3}@ForceFilingCode:true</v>
      </c>
      <c r="J13" s="13" t="str">
        <f>IF(COUNTIF(D:D,"Reported")&gt;0,Show!$B$12,"!")&amp;"S.01.01.14.01 Columns {"&amp;COLUMN($D$1)&amp;"}"</f>
        <v>!S.01.01.14.01 Columns {4}</v>
      </c>
    </row>
    <row r="14" spans="2:15">
      <c r="B14" s="43" t="s">
        <v>2880</v>
      </c>
      <c r="C14" s="44" t="s">
        <v>2878</v>
      </c>
      <c r="D14" s="48"/>
    </row>
    <row r="15" spans="2:15">
      <c r="B15" s="47" t="s">
        <v>2881</v>
      </c>
      <c r="C15" s="44" t="s">
        <v>2878</v>
      </c>
      <c r="D15" s="46"/>
    </row>
    <row r="16" spans="2:15">
      <c r="B16" s="52" t="s">
        <v>3075</v>
      </c>
      <c r="C16" s="41" t="s">
        <v>2883</v>
      </c>
      <c r="D16" s="51"/>
    </row>
    <row r="17" spans="2:10">
      <c r="B17" s="52" t="s">
        <v>3089</v>
      </c>
      <c r="C17" s="41" t="s">
        <v>2929</v>
      </c>
      <c r="D17" s="51"/>
    </row>
    <row r="18" spans="2:10">
      <c r="B18" s="52" t="s">
        <v>3090</v>
      </c>
      <c r="C18" s="41" t="s">
        <v>3091</v>
      </c>
      <c r="D18" s="51"/>
    </row>
    <row r="19" spans="2:10">
      <c r="B19" s="52" t="s">
        <v>3092</v>
      </c>
      <c r="C19" s="41" t="s">
        <v>3093</v>
      </c>
      <c r="D19" s="51"/>
    </row>
    <row r="20" spans="2:10">
      <c r="I20" s="13" t="str">
        <f>IF(COUNTIF(D:D,"Reported")&gt;0,Show!$B$12&amp;Show!$B$12,"!!")&amp;"S.01.01.14.01 Rows {"&amp;COLUMN($C$1)&amp;"}"</f>
        <v>!!S.01.01.14.01 Rows {3}</v>
      </c>
      <c r="J20" s="13" t="str">
        <f>IF(COUNTIF(D:D,"Reported")&gt;0,Show!$B$12&amp;Show!$B$12,"!!")&amp;"S.01.01.14.01 Columns {"&amp;COLUMN($D$1)&amp;"}"</f>
        <v>!!S.01.01.14.01 Columns {4}</v>
      </c>
    </row>
  </sheetData>
  <sheetProtection sheet="1" objects="1" scenarios="1"/>
  <mergeCells count="3">
    <mergeCell ref="B2:O2"/>
    <mergeCell ref="B5:L5"/>
    <mergeCell ref="D9:D12"/>
  </mergeCells>
  <dataValidations count="3">
    <dataValidation type="list" errorStyle="warning" allowBlank="1" showInputMessage="1" showErrorMessage="1" sqref="D16" xr:uid="{92B658F0-0CD7-4551-B0FD-381252CAAF65}">
      <formula1>hier_CN_2</formula1>
    </dataValidation>
    <dataValidation type="list" errorStyle="warning" allowBlank="1" showInputMessage="1" showErrorMessage="1" sqref="D17" xr:uid="{78F85248-30AC-46ED-8E87-4AF3FA8A2DC0}">
      <formula1>hier_CN_30</formula1>
    </dataValidation>
    <dataValidation type="list" errorStyle="warning" allowBlank="1" showInputMessage="1" showErrorMessage="1" sqref="D18 D19" xr:uid="{0165061B-0402-44F1-A7FA-C3A61BE2D705}">
      <formula1>hier_CN_15</formula1>
    </dataValidation>
  </dataValidations>
  <hyperlinks>
    <hyperlink ref="B16" location="'S.01.02.07'!A1" display="S.01.02.07 - Basic Information - General" xr:uid="{FC15F812-2B60-4891-8E3F-4D4D8223A75C}"/>
    <hyperlink ref="B17" location="'S.14.01.10'!A1" display="S.14.01.10 - Life obligations analysis" xr:uid="{8183F88D-95DD-4938-AF63-73AAD4647B23}"/>
    <hyperlink ref="B18" location="'S.38.01.10'!A1" display="S.38.01.10 - Duration of technical provisions" xr:uid="{8A64963C-53D6-4B10-A8AC-4E4C432F7017}"/>
    <hyperlink ref="B19" location="'S.40.01.10'!A1" display="S.40.01.10 - Profit or Loss sharing" xr:uid="{D985F38F-CF9E-4737-8C33-D4E1CFB88F5A}"/>
  </hyperlinks>
  <pageMargins left="0.7" right="0.7" top="0.75" bottom="0.75" header="0.3" footer="0.3"/>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9EAE1-C95F-4662-80D7-C2D580BEA5DF}">
  <sheetPr codeName="Blad160"/>
  <dimension ref="B2:AA705"/>
  <sheetViews>
    <sheetView showGridLines="0" workbookViewId="0"/>
  </sheetViews>
  <sheetFormatPr defaultRowHeight="15"/>
  <cols>
    <col min="2" max="2" width="82.28515625" bestFit="1" customWidth="1"/>
    <col min="4" max="17" width="15.7109375" customWidth="1"/>
  </cols>
  <sheetData>
    <row r="2" spans="2:27" ht="23.25">
      <c r="B2" s="86" t="s">
        <v>742</v>
      </c>
      <c r="C2" s="87"/>
      <c r="D2" s="87"/>
      <c r="E2" s="87"/>
      <c r="F2" s="87"/>
      <c r="G2" s="87"/>
      <c r="H2" s="87"/>
      <c r="I2" s="87"/>
      <c r="J2" s="87"/>
      <c r="K2" s="87"/>
      <c r="L2" s="87"/>
      <c r="M2" s="87"/>
      <c r="N2" s="87"/>
      <c r="O2" s="87"/>
    </row>
    <row r="5" spans="2:27" ht="18.75">
      <c r="B5" s="88" t="s">
        <v>5090</v>
      </c>
      <c r="C5" s="87"/>
      <c r="D5" s="87"/>
      <c r="E5" s="87"/>
      <c r="F5" s="87"/>
      <c r="G5" s="87"/>
      <c r="H5" s="87"/>
      <c r="I5" s="87"/>
      <c r="J5" s="87"/>
      <c r="K5" s="87"/>
      <c r="L5" s="87"/>
    </row>
    <row r="9" spans="2:27">
      <c r="D9" s="92" t="s">
        <v>2877</v>
      </c>
      <c r="E9" s="93"/>
      <c r="F9" s="94"/>
    </row>
    <row r="10" spans="2:27">
      <c r="D10" s="95"/>
      <c r="E10" s="96"/>
      <c r="F10" s="97"/>
    </row>
    <row r="11" spans="2:27">
      <c r="D11" s="89" t="s">
        <v>5091</v>
      </c>
      <c r="E11" s="89" t="s">
        <v>5092</v>
      </c>
      <c r="F11" s="89" t="s">
        <v>5093</v>
      </c>
    </row>
    <row r="12" spans="2:27">
      <c r="D12" s="90"/>
      <c r="E12" s="90"/>
      <c r="F12" s="90"/>
    </row>
    <row r="13" spans="2:27">
      <c r="D13" s="91"/>
      <c r="E13" s="91"/>
      <c r="F13" s="91"/>
    </row>
    <row r="14" spans="2:27">
      <c r="D14" s="45" t="s">
        <v>2879</v>
      </c>
      <c r="E14" s="45" t="s">
        <v>3219</v>
      </c>
      <c r="F14" s="45" t="s">
        <v>3225</v>
      </c>
      <c r="Z14" s="13" t="str">
        <f>Show!$B$156&amp;"S.27.01.01.01 Rows {"&amp;COLUMN($C$1)&amp;"}"&amp;"@ForceFilingCode:true"</f>
        <v>!S.27.01.01.01 Rows {3}@ForceFilingCode:true</v>
      </c>
      <c r="AA14" s="13" t="str">
        <f>Show!$B$156&amp;"S.27.01.01.01 Columns {"&amp;COLUMN($D$1)&amp;"}"</f>
        <v>!S.27.01.01.01 Columns {4}</v>
      </c>
    </row>
    <row r="15" spans="2:27">
      <c r="B15" s="43" t="s">
        <v>2880</v>
      </c>
      <c r="C15" s="44" t="s">
        <v>2878</v>
      </c>
      <c r="D15" s="58"/>
      <c r="E15" s="67"/>
      <c r="F15" s="59"/>
    </row>
    <row r="16" spans="2:27">
      <c r="B16" s="47" t="s">
        <v>5094</v>
      </c>
      <c r="C16" s="44" t="s">
        <v>2878</v>
      </c>
      <c r="D16" s="56"/>
      <c r="E16" s="66"/>
      <c r="F16" s="57"/>
    </row>
    <row r="17" spans="2:6">
      <c r="B17" s="49" t="s">
        <v>5095</v>
      </c>
      <c r="C17" s="41" t="s">
        <v>2883</v>
      </c>
      <c r="D17" s="60"/>
      <c r="E17" s="60"/>
      <c r="F17" s="60"/>
    </row>
    <row r="18" spans="2:6">
      <c r="B18" s="61" t="s">
        <v>5073</v>
      </c>
      <c r="C18" s="41" t="s">
        <v>2885</v>
      </c>
      <c r="D18" s="60"/>
      <c r="E18" s="60"/>
      <c r="F18" s="60"/>
    </row>
    <row r="19" spans="2:6">
      <c r="B19" s="61" t="s">
        <v>5075</v>
      </c>
      <c r="C19" s="41" t="s">
        <v>2887</v>
      </c>
      <c r="D19" s="60"/>
      <c r="E19" s="60"/>
      <c r="F19" s="60"/>
    </row>
    <row r="20" spans="2:6">
      <c r="B20" s="61" t="s">
        <v>5076</v>
      </c>
      <c r="C20" s="41" t="s">
        <v>2889</v>
      </c>
      <c r="D20" s="60"/>
      <c r="E20" s="60"/>
      <c r="F20" s="60"/>
    </row>
    <row r="21" spans="2:6">
      <c r="B21" s="61" t="s">
        <v>5074</v>
      </c>
      <c r="C21" s="41" t="s">
        <v>3078</v>
      </c>
      <c r="D21" s="60"/>
      <c r="E21" s="60"/>
      <c r="F21" s="60"/>
    </row>
    <row r="22" spans="2:6">
      <c r="B22" s="61" t="s">
        <v>5077</v>
      </c>
      <c r="C22" s="41" t="s">
        <v>2891</v>
      </c>
      <c r="D22" s="60"/>
      <c r="E22" s="60"/>
      <c r="F22" s="60"/>
    </row>
    <row r="23" spans="2:6">
      <c r="B23" s="61" t="s">
        <v>5096</v>
      </c>
      <c r="C23" s="41" t="s">
        <v>2893</v>
      </c>
      <c r="D23" s="60"/>
      <c r="E23" s="60"/>
      <c r="F23" s="60"/>
    </row>
    <row r="24" spans="2:6">
      <c r="B24" s="49" t="s">
        <v>5097</v>
      </c>
      <c r="C24" s="41" t="s">
        <v>2895</v>
      </c>
      <c r="D24" s="60"/>
      <c r="E24" s="60"/>
      <c r="F24" s="60"/>
    </row>
    <row r="25" spans="2:6">
      <c r="B25" s="49" t="s">
        <v>5098</v>
      </c>
      <c r="C25" s="41" t="s">
        <v>2897</v>
      </c>
      <c r="D25" s="60"/>
      <c r="E25" s="60"/>
      <c r="F25" s="60"/>
    </row>
    <row r="26" spans="2:6">
      <c r="B26" s="61" t="s">
        <v>4988</v>
      </c>
      <c r="C26" s="41" t="s">
        <v>2899</v>
      </c>
      <c r="D26" s="60"/>
      <c r="E26" s="60"/>
      <c r="F26" s="60"/>
    </row>
    <row r="27" spans="2:6">
      <c r="B27" s="61" t="s">
        <v>5099</v>
      </c>
      <c r="C27" s="41" t="s">
        <v>2901</v>
      </c>
      <c r="D27" s="60"/>
      <c r="E27" s="60"/>
      <c r="F27" s="60"/>
    </row>
    <row r="28" spans="2:6">
      <c r="B28" s="61" t="s">
        <v>5100</v>
      </c>
      <c r="C28" s="41" t="s">
        <v>2903</v>
      </c>
      <c r="D28" s="60"/>
      <c r="E28" s="60"/>
      <c r="F28" s="60"/>
    </row>
    <row r="29" spans="2:6">
      <c r="B29" s="61" t="s">
        <v>5101</v>
      </c>
      <c r="C29" s="41" t="s">
        <v>2905</v>
      </c>
      <c r="D29" s="60"/>
      <c r="E29" s="60"/>
      <c r="F29" s="60"/>
    </row>
    <row r="30" spans="2:6">
      <c r="B30" s="61" t="s">
        <v>5102</v>
      </c>
      <c r="C30" s="41" t="s">
        <v>2907</v>
      </c>
      <c r="D30" s="60"/>
      <c r="E30" s="60"/>
      <c r="F30" s="60"/>
    </row>
    <row r="31" spans="2:6">
      <c r="B31" s="61" t="s">
        <v>5103</v>
      </c>
      <c r="C31" s="41" t="s">
        <v>2909</v>
      </c>
      <c r="D31" s="60"/>
      <c r="E31" s="60"/>
      <c r="F31" s="60"/>
    </row>
    <row r="32" spans="2:6">
      <c r="B32" s="61" t="s">
        <v>5096</v>
      </c>
      <c r="C32" s="41" t="s">
        <v>2911</v>
      </c>
      <c r="D32" s="60"/>
      <c r="E32" s="60"/>
      <c r="F32" s="60"/>
    </row>
    <row r="33" spans="2:27">
      <c r="B33" s="49" t="s">
        <v>5104</v>
      </c>
      <c r="C33" s="41" t="s">
        <v>2913</v>
      </c>
      <c r="D33" s="60"/>
      <c r="E33" s="60"/>
      <c r="F33" s="60"/>
    </row>
    <row r="34" spans="2:27">
      <c r="B34" s="61" t="s">
        <v>5096</v>
      </c>
      <c r="C34" s="41" t="s">
        <v>2915</v>
      </c>
      <c r="D34" s="60"/>
      <c r="E34" s="60"/>
      <c r="F34" s="60"/>
    </row>
    <row r="35" spans="2:27">
      <c r="B35" s="49" t="s">
        <v>5105</v>
      </c>
      <c r="C35" s="41" t="s">
        <v>2917</v>
      </c>
      <c r="D35" s="60"/>
      <c r="E35" s="60"/>
      <c r="F35" s="60"/>
    </row>
    <row r="36" spans="2:27">
      <c r="B36" s="61" t="s">
        <v>5106</v>
      </c>
      <c r="C36" s="41" t="s">
        <v>2919</v>
      </c>
      <c r="D36" s="60"/>
      <c r="E36" s="60"/>
      <c r="F36" s="60"/>
    </row>
    <row r="37" spans="2:27">
      <c r="B37" s="49" t="s">
        <v>5107</v>
      </c>
      <c r="C37" s="41" t="s">
        <v>2921</v>
      </c>
      <c r="D37" s="63"/>
      <c r="E37" s="63"/>
      <c r="F37" s="63"/>
    </row>
    <row r="38" spans="2:27">
      <c r="B38" s="47" t="s">
        <v>5108</v>
      </c>
      <c r="C38" s="44" t="s">
        <v>2878</v>
      </c>
      <c r="D38" s="56"/>
      <c r="E38" s="66"/>
      <c r="F38" s="57"/>
    </row>
    <row r="39" spans="2:27">
      <c r="B39" s="49" t="s">
        <v>5109</v>
      </c>
      <c r="C39" s="41" t="s">
        <v>2939</v>
      </c>
      <c r="D39" s="60"/>
      <c r="E39" s="60"/>
      <c r="F39" s="60"/>
    </row>
    <row r="40" spans="2:27">
      <c r="B40" s="61" t="s">
        <v>5110</v>
      </c>
      <c r="C40" s="41" t="s">
        <v>2941</v>
      </c>
      <c r="D40" s="60"/>
      <c r="E40" s="60"/>
      <c r="F40" s="60"/>
    </row>
    <row r="41" spans="2:27">
      <c r="B41" s="61" t="s">
        <v>5111</v>
      </c>
      <c r="C41" s="41" t="s">
        <v>2943</v>
      </c>
      <c r="D41" s="60"/>
      <c r="E41" s="60"/>
      <c r="F41" s="60"/>
    </row>
    <row r="42" spans="2:27">
      <c r="B42" s="61" t="s">
        <v>5112</v>
      </c>
      <c r="C42" s="41" t="s">
        <v>2945</v>
      </c>
      <c r="D42" s="60"/>
      <c r="E42" s="60"/>
      <c r="F42" s="60"/>
    </row>
    <row r="43" spans="2:27">
      <c r="B43" s="61" t="s">
        <v>5106</v>
      </c>
      <c r="C43" s="41" t="s">
        <v>2947</v>
      </c>
      <c r="D43" s="60"/>
      <c r="E43" s="60"/>
      <c r="F43" s="60"/>
    </row>
    <row r="45" spans="2:27">
      <c r="Z45" s="13" t="str">
        <f>Show!$B$156&amp;Show!$B$156&amp;"S.27.01.01.01 Rows {"&amp;COLUMN($C$1)&amp;"}"</f>
        <v>!!S.27.01.01.01 Rows {3}</v>
      </c>
      <c r="AA45" s="13" t="str">
        <f>Show!$B$156&amp;Show!$B$156&amp;"S.27.01.01.01 Columns {"&amp;COLUMN($F$1)&amp;"}"</f>
        <v>!!S.27.01.01.01 Columns {6}</v>
      </c>
    </row>
    <row r="47" spans="2:27" ht="18.75">
      <c r="B47" s="88" t="s">
        <v>5113</v>
      </c>
      <c r="C47" s="87"/>
      <c r="D47" s="87"/>
      <c r="E47" s="87"/>
      <c r="F47" s="87"/>
      <c r="G47" s="87"/>
      <c r="H47" s="87"/>
      <c r="I47" s="87"/>
      <c r="J47" s="87"/>
      <c r="K47" s="87"/>
      <c r="L47" s="87"/>
    </row>
    <row r="51" spans="2:27">
      <c r="D51" s="92" t="s">
        <v>2877</v>
      </c>
      <c r="E51" s="93"/>
      <c r="F51" s="93"/>
      <c r="G51" s="93"/>
      <c r="H51" s="93"/>
      <c r="I51" s="93"/>
      <c r="J51" s="93"/>
      <c r="K51" s="93"/>
      <c r="L51" s="94"/>
    </row>
    <row r="52" spans="2:27">
      <c r="D52" s="95"/>
      <c r="E52" s="96"/>
      <c r="F52" s="96"/>
      <c r="G52" s="96"/>
      <c r="H52" s="96"/>
      <c r="I52" s="96"/>
      <c r="J52" s="96"/>
      <c r="K52" s="96"/>
      <c r="L52" s="97"/>
    </row>
    <row r="53" spans="2:27">
      <c r="D53" s="89" t="s">
        <v>5114</v>
      </c>
      <c r="E53" s="89" t="s">
        <v>5115</v>
      </c>
      <c r="F53" s="89" t="s">
        <v>5116</v>
      </c>
      <c r="G53" s="89" t="s">
        <v>5117</v>
      </c>
      <c r="H53" s="89" t="s">
        <v>5118</v>
      </c>
      <c r="I53" s="89" t="s">
        <v>5119</v>
      </c>
      <c r="J53" s="89" t="s">
        <v>5120</v>
      </c>
      <c r="K53" s="89" t="s">
        <v>5121</v>
      </c>
      <c r="L53" s="89" t="s">
        <v>5122</v>
      </c>
    </row>
    <row r="54" spans="2:27">
      <c r="D54" s="91"/>
      <c r="E54" s="91"/>
      <c r="F54" s="91"/>
      <c r="G54" s="91"/>
      <c r="H54" s="91"/>
      <c r="I54" s="91"/>
      <c r="J54" s="91"/>
      <c r="K54" s="91"/>
      <c r="L54" s="91"/>
    </row>
    <row r="55" spans="2:27">
      <c r="D55" s="45" t="s">
        <v>3223</v>
      </c>
      <c r="E55" s="45" t="s">
        <v>3229</v>
      </c>
      <c r="F55" s="45" t="s">
        <v>3231</v>
      </c>
      <c r="G55" s="45" t="s">
        <v>3233</v>
      </c>
      <c r="H55" s="45" t="s">
        <v>3234</v>
      </c>
      <c r="I55" s="45" t="s">
        <v>3236</v>
      </c>
      <c r="J55" s="45" t="s">
        <v>3239</v>
      </c>
      <c r="K55" s="45" t="s">
        <v>3241</v>
      </c>
      <c r="L55" s="45" t="s">
        <v>3243</v>
      </c>
      <c r="Z55" s="13" t="str">
        <f>Show!$B$156&amp;"S.27.01.01.02 Rows {"&amp;COLUMN($C$1)&amp;"}"&amp;"@ForceFilingCode:true"</f>
        <v>!S.27.01.01.02 Rows {3}@ForceFilingCode:true</v>
      </c>
      <c r="AA55" s="13" t="str">
        <f>Show!$B$156&amp;"S.27.01.01.02 Columns {"&amp;COLUMN($D$1)&amp;"}"</f>
        <v>!S.27.01.01.02 Columns {4}</v>
      </c>
    </row>
    <row r="56" spans="2:27">
      <c r="B56" s="43" t="s">
        <v>2880</v>
      </c>
      <c r="C56" s="44" t="s">
        <v>2878</v>
      </c>
      <c r="D56" s="58"/>
      <c r="E56" s="67"/>
      <c r="F56" s="67"/>
      <c r="G56" s="67"/>
      <c r="H56" s="67"/>
      <c r="I56" s="67"/>
      <c r="J56" s="67"/>
      <c r="K56" s="67"/>
      <c r="L56" s="59"/>
    </row>
    <row r="57" spans="2:27">
      <c r="B57" s="47" t="s">
        <v>5123</v>
      </c>
      <c r="C57" s="44" t="s">
        <v>2878</v>
      </c>
      <c r="D57" s="58"/>
      <c r="E57" s="66"/>
      <c r="F57" s="66"/>
      <c r="G57" s="66"/>
      <c r="H57" s="66"/>
      <c r="I57" s="66"/>
      <c r="J57" s="66"/>
      <c r="K57" s="66"/>
      <c r="L57" s="57"/>
    </row>
    <row r="58" spans="2:27">
      <c r="B58" s="49" t="s">
        <v>5124</v>
      </c>
      <c r="C58" s="44" t="s">
        <v>2959</v>
      </c>
      <c r="D58" s="48"/>
      <c r="E58" s="60"/>
      <c r="F58" s="60"/>
      <c r="G58" s="70"/>
      <c r="H58" s="51"/>
      <c r="I58" s="60"/>
      <c r="J58" s="60"/>
      <c r="K58" s="60"/>
      <c r="L58" s="60"/>
    </row>
    <row r="59" spans="2:27">
      <c r="B59" s="49" t="s">
        <v>5125</v>
      </c>
      <c r="C59" s="44" t="s">
        <v>2961</v>
      </c>
      <c r="D59" s="48"/>
      <c r="E59" s="60"/>
      <c r="F59" s="60"/>
      <c r="G59" s="70"/>
      <c r="H59" s="51"/>
      <c r="I59" s="60"/>
      <c r="J59" s="60"/>
      <c r="K59" s="60"/>
      <c r="L59" s="60"/>
    </row>
    <row r="60" spans="2:27">
      <c r="B60" s="49" t="s">
        <v>5126</v>
      </c>
      <c r="C60" s="44" t="s">
        <v>2963</v>
      </c>
      <c r="D60" s="48"/>
      <c r="E60" s="60"/>
      <c r="F60" s="60"/>
      <c r="G60" s="70"/>
      <c r="H60" s="51"/>
      <c r="I60" s="60"/>
      <c r="J60" s="60"/>
      <c r="K60" s="60"/>
      <c r="L60" s="60"/>
    </row>
    <row r="61" spans="2:27">
      <c r="B61" s="49" t="s">
        <v>5127</v>
      </c>
      <c r="C61" s="44" t="s">
        <v>2965</v>
      </c>
      <c r="D61" s="48"/>
      <c r="E61" s="60"/>
      <c r="F61" s="60"/>
      <c r="G61" s="70"/>
      <c r="H61" s="51"/>
      <c r="I61" s="60"/>
      <c r="J61" s="60"/>
      <c r="K61" s="60"/>
      <c r="L61" s="60"/>
    </row>
    <row r="62" spans="2:27">
      <c r="B62" s="49" t="s">
        <v>5128</v>
      </c>
      <c r="C62" s="44" t="s">
        <v>2967</v>
      </c>
      <c r="D62" s="48"/>
      <c r="E62" s="60"/>
      <c r="F62" s="60"/>
      <c r="G62" s="70"/>
      <c r="H62" s="51"/>
      <c r="I62" s="60"/>
      <c r="J62" s="60"/>
      <c r="K62" s="60"/>
      <c r="L62" s="60"/>
    </row>
    <row r="63" spans="2:27">
      <c r="B63" s="49" t="s">
        <v>5129</v>
      </c>
      <c r="C63" s="44" t="s">
        <v>5130</v>
      </c>
      <c r="D63" s="48"/>
      <c r="E63" s="60"/>
      <c r="F63" s="60"/>
      <c r="G63" s="70"/>
      <c r="H63" s="51"/>
      <c r="I63" s="60"/>
      <c r="J63" s="60"/>
      <c r="K63" s="60"/>
      <c r="L63" s="60"/>
    </row>
    <row r="64" spans="2:27" ht="30">
      <c r="B64" s="49" t="s">
        <v>5131</v>
      </c>
      <c r="C64" s="44" t="s">
        <v>2969</v>
      </c>
      <c r="D64" s="48"/>
      <c r="E64" s="60"/>
      <c r="F64" s="60"/>
      <c r="G64" s="70"/>
      <c r="H64" s="51"/>
      <c r="I64" s="60"/>
      <c r="J64" s="60"/>
      <c r="K64" s="60"/>
      <c r="L64" s="60"/>
    </row>
    <row r="65" spans="2:12">
      <c r="B65" s="49" t="s">
        <v>5132</v>
      </c>
      <c r="C65" s="44" t="s">
        <v>2971</v>
      </c>
      <c r="D65" s="48"/>
      <c r="E65" s="60"/>
      <c r="F65" s="60"/>
      <c r="G65" s="70"/>
      <c r="H65" s="51"/>
      <c r="I65" s="60"/>
      <c r="J65" s="60"/>
      <c r="K65" s="60"/>
      <c r="L65" s="60"/>
    </row>
    <row r="66" spans="2:12">
      <c r="B66" s="49" t="s">
        <v>5133</v>
      </c>
      <c r="C66" s="44" t="s">
        <v>4815</v>
      </c>
      <c r="D66" s="48"/>
      <c r="E66" s="60"/>
      <c r="F66" s="60"/>
      <c r="G66" s="70"/>
      <c r="H66" s="51"/>
      <c r="I66" s="60"/>
      <c r="J66" s="60"/>
      <c r="K66" s="60"/>
      <c r="L66" s="60"/>
    </row>
    <row r="67" spans="2:12">
      <c r="B67" s="49" t="s">
        <v>5134</v>
      </c>
      <c r="C67" s="44" t="s">
        <v>2973</v>
      </c>
      <c r="D67" s="48"/>
      <c r="E67" s="60"/>
      <c r="F67" s="60"/>
      <c r="G67" s="70"/>
      <c r="H67" s="51"/>
      <c r="I67" s="60"/>
      <c r="J67" s="60"/>
      <c r="K67" s="60"/>
      <c r="L67" s="60"/>
    </row>
    <row r="68" spans="2:12">
      <c r="B68" s="49" t="s">
        <v>5135</v>
      </c>
      <c r="C68" s="44" t="s">
        <v>2975</v>
      </c>
      <c r="D68" s="48"/>
      <c r="E68" s="60"/>
      <c r="F68" s="60"/>
      <c r="G68" s="70"/>
      <c r="H68" s="51"/>
      <c r="I68" s="60"/>
      <c r="J68" s="60"/>
      <c r="K68" s="60"/>
      <c r="L68" s="60"/>
    </row>
    <row r="69" spans="2:12">
      <c r="B69" s="49" t="s">
        <v>5136</v>
      </c>
      <c r="C69" s="44" t="s">
        <v>3096</v>
      </c>
      <c r="D69" s="48"/>
      <c r="E69" s="60"/>
      <c r="F69" s="60"/>
      <c r="G69" s="70"/>
      <c r="H69" s="51"/>
      <c r="I69" s="60"/>
      <c r="J69" s="60"/>
      <c r="K69" s="60"/>
      <c r="L69" s="60"/>
    </row>
    <row r="70" spans="2:12">
      <c r="B70" s="49" t="s">
        <v>5137</v>
      </c>
      <c r="C70" s="44" t="s">
        <v>2977</v>
      </c>
      <c r="D70" s="48"/>
      <c r="E70" s="60"/>
      <c r="F70" s="60"/>
      <c r="G70" s="70"/>
      <c r="H70" s="51"/>
      <c r="I70" s="60"/>
      <c r="J70" s="60"/>
      <c r="K70" s="60"/>
      <c r="L70" s="60"/>
    </row>
    <row r="71" spans="2:12">
      <c r="B71" s="49" t="s">
        <v>5138</v>
      </c>
      <c r="C71" s="44" t="s">
        <v>2979</v>
      </c>
      <c r="D71" s="48"/>
      <c r="E71" s="60"/>
      <c r="F71" s="60"/>
      <c r="G71" s="70"/>
      <c r="H71" s="51"/>
      <c r="I71" s="60"/>
      <c r="J71" s="60"/>
      <c r="K71" s="60"/>
      <c r="L71" s="60"/>
    </row>
    <row r="72" spans="2:12">
      <c r="B72" s="49" t="s">
        <v>5139</v>
      </c>
      <c r="C72" s="44" t="s">
        <v>2981</v>
      </c>
      <c r="D72" s="48"/>
      <c r="E72" s="60"/>
      <c r="F72" s="60"/>
      <c r="G72" s="70"/>
      <c r="H72" s="51"/>
      <c r="I72" s="60"/>
      <c r="J72" s="60"/>
      <c r="K72" s="60"/>
      <c r="L72" s="60"/>
    </row>
    <row r="73" spans="2:12">
      <c r="B73" s="49" t="s">
        <v>5140</v>
      </c>
      <c r="C73" s="44" t="s">
        <v>5141</v>
      </c>
      <c r="D73" s="48"/>
      <c r="E73" s="60"/>
      <c r="F73" s="60"/>
      <c r="G73" s="70"/>
      <c r="H73" s="51"/>
      <c r="I73" s="60"/>
      <c r="J73" s="60"/>
      <c r="K73" s="60"/>
      <c r="L73" s="60"/>
    </row>
    <row r="74" spans="2:12">
      <c r="B74" s="49" t="s">
        <v>5142</v>
      </c>
      <c r="C74" s="44" t="s">
        <v>2983</v>
      </c>
      <c r="D74" s="48"/>
      <c r="E74" s="60"/>
      <c r="F74" s="60"/>
      <c r="G74" s="70"/>
      <c r="H74" s="51"/>
      <c r="I74" s="60"/>
      <c r="J74" s="60"/>
      <c r="K74" s="60"/>
      <c r="L74" s="60"/>
    </row>
    <row r="75" spans="2:12">
      <c r="B75" s="49" t="s">
        <v>5143</v>
      </c>
      <c r="C75" s="44" t="s">
        <v>2985</v>
      </c>
      <c r="D75" s="48"/>
      <c r="E75" s="60"/>
      <c r="F75" s="60"/>
      <c r="G75" s="70"/>
      <c r="H75" s="51"/>
      <c r="I75" s="60"/>
      <c r="J75" s="60"/>
      <c r="K75" s="60"/>
      <c r="L75" s="60"/>
    </row>
    <row r="76" spans="2:12">
      <c r="B76" s="49" t="s">
        <v>5144</v>
      </c>
      <c r="C76" s="44" t="s">
        <v>2987</v>
      </c>
      <c r="D76" s="48"/>
      <c r="E76" s="60"/>
      <c r="F76" s="60"/>
      <c r="G76" s="70"/>
      <c r="H76" s="51"/>
      <c r="I76" s="60"/>
      <c r="J76" s="60"/>
      <c r="K76" s="60"/>
      <c r="L76" s="60"/>
    </row>
    <row r="77" spans="2:12">
      <c r="B77" s="49" t="s">
        <v>5145</v>
      </c>
      <c r="C77" s="44" t="s">
        <v>2989</v>
      </c>
      <c r="D77" s="48"/>
      <c r="E77" s="60"/>
      <c r="F77" s="60"/>
      <c r="G77" s="70"/>
      <c r="H77" s="51"/>
      <c r="I77" s="60"/>
      <c r="J77" s="60"/>
      <c r="K77" s="60"/>
      <c r="L77" s="60"/>
    </row>
    <row r="78" spans="2:12">
      <c r="B78" s="49" t="s">
        <v>5146</v>
      </c>
      <c r="C78" s="44" t="s">
        <v>2991</v>
      </c>
      <c r="D78" s="48"/>
      <c r="E78" s="60"/>
      <c r="F78" s="60"/>
      <c r="G78" s="70"/>
      <c r="H78" s="51"/>
      <c r="I78" s="60"/>
      <c r="J78" s="60"/>
      <c r="K78" s="60"/>
      <c r="L78" s="60"/>
    </row>
    <row r="79" spans="2:12">
      <c r="B79" s="49" t="s">
        <v>5147</v>
      </c>
      <c r="C79" s="44" t="s">
        <v>2993</v>
      </c>
      <c r="D79" s="48"/>
      <c r="E79" s="60"/>
      <c r="F79" s="60"/>
      <c r="G79" s="70"/>
      <c r="H79" s="51"/>
      <c r="I79" s="60"/>
      <c r="J79" s="60"/>
      <c r="K79" s="60"/>
      <c r="L79" s="60"/>
    </row>
    <row r="80" spans="2:12">
      <c r="B80" s="49" t="s">
        <v>5148</v>
      </c>
      <c r="C80" s="44" t="s">
        <v>2995</v>
      </c>
      <c r="D80" s="48"/>
      <c r="E80" s="60"/>
      <c r="F80" s="60"/>
      <c r="G80" s="70"/>
      <c r="H80" s="68"/>
      <c r="I80" s="60"/>
      <c r="J80" s="60"/>
      <c r="K80" s="60"/>
      <c r="L80" s="60"/>
    </row>
    <row r="81" spans="2:12">
      <c r="B81" s="49" t="s">
        <v>5149</v>
      </c>
      <c r="C81" s="44" t="s">
        <v>2997</v>
      </c>
      <c r="D81" s="46"/>
      <c r="E81" s="63"/>
      <c r="F81" s="63"/>
      <c r="G81" s="78"/>
      <c r="H81" s="48"/>
      <c r="I81" s="63"/>
      <c r="J81" s="63"/>
      <c r="K81" s="63"/>
      <c r="L81" s="63"/>
    </row>
    <row r="82" spans="2:12">
      <c r="B82" s="49" t="s">
        <v>5150</v>
      </c>
      <c r="C82" s="41" t="s">
        <v>2999</v>
      </c>
      <c r="D82" s="64"/>
      <c r="E82" s="58"/>
      <c r="F82" s="58"/>
      <c r="G82" s="58"/>
      <c r="H82" s="58"/>
      <c r="I82" s="58"/>
      <c r="J82" s="58"/>
      <c r="K82" s="58"/>
      <c r="L82" s="48"/>
    </row>
    <row r="83" spans="2:12">
      <c r="B83" s="49" t="s">
        <v>5151</v>
      </c>
      <c r="C83" s="41" t="s">
        <v>3001</v>
      </c>
      <c r="D83" s="64"/>
      <c r="E83" s="58"/>
      <c r="F83" s="58"/>
      <c r="G83" s="58"/>
      <c r="H83" s="58"/>
      <c r="I83" s="58"/>
      <c r="J83" s="58"/>
      <c r="K83" s="58"/>
      <c r="L83" s="48"/>
    </row>
    <row r="84" spans="2:12">
      <c r="B84" s="49" t="s">
        <v>5152</v>
      </c>
      <c r="C84" s="41" t="s">
        <v>3003</v>
      </c>
      <c r="D84" s="64"/>
      <c r="E84" s="58"/>
      <c r="F84" s="58"/>
      <c r="G84" s="58"/>
      <c r="H84" s="58"/>
      <c r="I84" s="58"/>
      <c r="J84" s="58"/>
      <c r="K84" s="58"/>
      <c r="L84" s="48"/>
    </row>
    <row r="85" spans="2:12">
      <c r="B85" s="49" t="s">
        <v>5153</v>
      </c>
      <c r="C85" s="41" t="s">
        <v>3005</v>
      </c>
      <c r="D85" s="64"/>
      <c r="E85" s="58"/>
      <c r="F85" s="58"/>
      <c r="G85" s="58"/>
      <c r="H85" s="58"/>
      <c r="I85" s="58"/>
      <c r="J85" s="58"/>
      <c r="K85" s="58"/>
      <c r="L85" s="48"/>
    </row>
    <row r="86" spans="2:12">
      <c r="B86" s="49" t="s">
        <v>5154</v>
      </c>
      <c r="C86" s="41" t="s">
        <v>3007</v>
      </c>
      <c r="D86" s="64"/>
      <c r="E86" s="58"/>
      <c r="F86" s="58"/>
      <c r="G86" s="58"/>
      <c r="H86" s="58"/>
      <c r="I86" s="58"/>
      <c r="J86" s="58"/>
      <c r="K86" s="58"/>
      <c r="L86" s="48"/>
    </row>
    <row r="87" spans="2:12">
      <c r="B87" s="49" t="s">
        <v>5155</v>
      </c>
      <c r="C87" s="41" t="s">
        <v>3009</v>
      </c>
      <c r="D87" s="64"/>
      <c r="E87" s="58"/>
      <c r="F87" s="58"/>
      <c r="G87" s="58"/>
      <c r="H87" s="58"/>
      <c r="I87" s="58"/>
      <c r="J87" s="58"/>
      <c r="K87" s="58"/>
      <c r="L87" s="48"/>
    </row>
    <row r="88" spans="2:12">
      <c r="B88" s="49" t="s">
        <v>5156</v>
      </c>
      <c r="C88" s="41" t="s">
        <v>3011</v>
      </c>
      <c r="D88" s="64"/>
      <c r="E88" s="58"/>
      <c r="F88" s="58"/>
      <c r="G88" s="58"/>
      <c r="H88" s="58"/>
      <c r="I88" s="58"/>
      <c r="J88" s="58"/>
      <c r="K88" s="58"/>
      <c r="L88" s="48"/>
    </row>
    <row r="89" spans="2:12">
      <c r="B89" s="49" t="s">
        <v>5157</v>
      </c>
      <c r="C89" s="41" t="s">
        <v>3013</v>
      </c>
      <c r="D89" s="64"/>
      <c r="E89" s="58"/>
      <c r="F89" s="58"/>
      <c r="G89" s="58"/>
      <c r="H89" s="58"/>
      <c r="I89" s="58"/>
      <c r="J89" s="58"/>
      <c r="K89" s="58"/>
      <c r="L89" s="48"/>
    </row>
    <row r="90" spans="2:12">
      <c r="B90" s="49" t="s">
        <v>5158</v>
      </c>
      <c r="C90" s="41" t="s">
        <v>3015</v>
      </c>
      <c r="D90" s="64"/>
      <c r="E90" s="58"/>
      <c r="F90" s="58"/>
      <c r="G90" s="58"/>
      <c r="H90" s="58"/>
      <c r="I90" s="58"/>
      <c r="J90" s="58"/>
      <c r="K90" s="58"/>
      <c r="L90" s="48"/>
    </row>
    <row r="91" spans="2:12">
      <c r="B91" s="49" t="s">
        <v>5159</v>
      </c>
      <c r="C91" s="41" t="s">
        <v>3064</v>
      </c>
      <c r="D91" s="64"/>
      <c r="E91" s="58"/>
      <c r="F91" s="58"/>
      <c r="G91" s="58"/>
      <c r="H91" s="58"/>
      <c r="I91" s="58"/>
      <c r="J91" s="58"/>
      <c r="K91" s="58"/>
      <c r="L91" s="48"/>
    </row>
    <row r="92" spans="2:12">
      <c r="B92" s="49" t="s">
        <v>5160</v>
      </c>
      <c r="C92" s="41" t="s">
        <v>3066</v>
      </c>
      <c r="D92" s="64"/>
      <c r="E92" s="58"/>
      <c r="F92" s="58"/>
      <c r="G92" s="58"/>
      <c r="H92" s="58"/>
      <c r="I92" s="58"/>
      <c r="J92" s="58"/>
      <c r="K92" s="58"/>
      <c r="L92" s="48"/>
    </row>
    <row r="93" spans="2:12">
      <c r="B93" s="49" t="s">
        <v>5161</v>
      </c>
      <c r="C93" s="41" t="s">
        <v>3068</v>
      </c>
      <c r="D93" s="64"/>
      <c r="E93" s="58"/>
      <c r="F93" s="58"/>
      <c r="G93" s="58"/>
      <c r="H93" s="58"/>
      <c r="I93" s="58"/>
      <c r="J93" s="58"/>
      <c r="K93" s="58"/>
      <c r="L93" s="48"/>
    </row>
    <row r="94" spans="2:12">
      <c r="B94" s="49" t="s">
        <v>5162</v>
      </c>
      <c r="C94" s="41" t="s">
        <v>3070</v>
      </c>
      <c r="D94" s="64"/>
      <c r="E94" s="58"/>
      <c r="F94" s="58"/>
      <c r="G94" s="58"/>
      <c r="H94" s="58"/>
      <c r="I94" s="58"/>
      <c r="J94" s="58"/>
      <c r="K94" s="58"/>
      <c r="L94" s="48"/>
    </row>
    <row r="95" spans="2:12">
      <c r="B95" s="49" t="s">
        <v>5163</v>
      </c>
      <c r="C95" s="41" t="s">
        <v>3017</v>
      </c>
      <c r="D95" s="64"/>
      <c r="E95" s="58"/>
      <c r="F95" s="58"/>
      <c r="G95" s="58"/>
      <c r="H95" s="58"/>
      <c r="I95" s="58"/>
      <c r="J95" s="58"/>
      <c r="K95" s="58"/>
      <c r="L95" s="48"/>
    </row>
    <row r="96" spans="2:12">
      <c r="B96" s="49" t="s">
        <v>5164</v>
      </c>
      <c r="C96" s="41" t="s">
        <v>3019</v>
      </c>
      <c r="D96" s="64"/>
      <c r="E96" s="58"/>
      <c r="F96" s="58"/>
      <c r="G96" s="58"/>
      <c r="H96" s="58"/>
      <c r="I96" s="58"/>
      <c r="J96" s="58"/>
      <c r="K96" s="58"/>
      <c r="L96" s="48"/>
    </row>
    <row r="97" spans="2:27">
      <c r="B97" s="49" t="s">
        <v>5165</v>
      </c>
      <c r="C97" s="41" t="s">
        <v>3021</v>
      </c>
      <c r="D97" s="64"/>
      <c r="E97" s="58"/>
      <c r="F97" s="58"/>
      <c r="G97" s="58"/>
      <c r="H97" s="58"/>
      <c r="I97" s="58"/>
      <c r="J97" s="58"/>
      <c r="K97" s="58"/>
      <c r="L97" s="48"/>
    </row>
    <row r="98" spans="2:27">
      <c r="B98" s="49" t="s">
        <v>5166</v>
      </c>
      <c r="C98" s="41" t="s">
        <v>3023</v>
      </c>
      <c r="D98" s="64"/>
      <c r="E98" s="58"/>
      <c r="F98" s="58"/>
      <c r="G98" s="58"/>
      <c r="H98" s="58"/>
      <c r="I98" s="58"/>
      <c r="J98" s="58"/>
      <c r="K98" s="58"/>
      <c r="L98" s="48"/>
    </row>
    <row r="99" spans="2:27">
      <c r="B99" s="49" t="s">
        <v>5167</v>
      </c>
      <c r="C99" s="41" t="s">
        <v>3072</v>
      </c>
      <c r="D99" s="64"/>
      <c r="E99" s="58"/>
      <c r="F99" s="58"/>
      <c r="G99" s="58"/>
      <c r="H99" s="58"/>
      <c r="I99" s="56"/>
      <c r="J99" s="56"/>
      <c r="K99" s="56"/>
      <c r="L99" s="46"/>
    </row>
    <row r="100" spans="2:27">
      <c r="B100" s="49" t="s">
        <v>5168</v>
      </c>
      <c r="C100" s="41" t="s">
        <v>3118</v>
      </c>
      <c r="D100" s="65"/>
      <c r="E100" s="58"/>
      <c r="F100" s="58"/>
      <c r="G100" s="58"/>
      <c r="H100" s="48"/>
      <c r="I100" s="60"/>
      <c r="J100" s="60"/>
      <c r="K100" s="60"/>
      <c r="L100" s="60"/>
    </row>
    <row r="101" spans="2:27">
      <c r="B101" s="49" t="s">
        <v>5169</v>
      </c>
      <c r="C101" s="44" t="s">
        <v>3120</v>
      </c>
      <c r="D101" s="58"/>
      <c r="E101" s="58"/>
      <c r="F101" s="58"/>
      <c r="G101" s="58"/>
      <c r="H101" s="48"/>
      <c r="I101" s="60"/>
      <c r="J101" s="63"/>
      <c r="K101" s="63"/>
      <c r="L101" s="60"/>
    </row>
    <row r="102" spans="2:27">
      <c r="B102" s="49" t="s">
        <v>5170</v>
      </c>
      <c r="C102" s="44" t="s">
        <v>3122</v>
      </c>
      <c r="D102" s="58"/>
      <c r="E102" s="58"/>
      <c r="F102" s="58"/>
      <c r="G102" s="58"/>
      <c r="H102" s="48"/>
      <c r="I102" s="64"/>
      <c r="J102" s="58"/>
      <c r="K102" s="48"/>
      <c r="L102" s="60"/>
    </row>
    <row r="103" spans="2:27">
      <c r="B103" s="49" t="s">
        <v>5171</v>
      </c>
      <c r="C103" s="44" t="s">
        <v>3124</v>
      </c>
      <c r="D103" s="56"/>
      <c r="E103" s="56"/>
      <c r="F103" s="56"/>
      <c r="G103" s="56"/>
      <c r="H103" s="46"/>
      <c r="I103" s="64"/>
      <c r="J103" s="56"/>
      <c r="K103" s="46"/>
      <c r="L103" s="60"/>
    </row>
    <row r="105" spans="2:27">
      <c r="Z105" s="13" t="str">
        <f>Show!$B$156&amp;Show!$B$156&amp;"S.27.01.01.02 Rows {"&amp;COLUMN($C$1)&amp;"}"</f>
        <v>!!S.27.01.01.02 Rows {3}</v>
      </c>
      <c r="AA105" s="13" t="str">
        <f>Show!$B$156&amp;Show!$B$156&amp;"S.27.01.01.02 Columns {"&amp;COLUMN($L$1)&amp;"}"</f>
        <v>!!S.27.01.01.02 Columns {12}</v>
      </c>
    </row>
    <row r="107" spans="2:27" ht="18.75">
      <c r="B107" s="88" t="s">
        <v>5172</v>
      </c>
      <c r="C107" s="87"/>
      <c r="D107" s="87"/>
      <c r="E107" s="87"/>
      <c r="F107" s="87"/>
      <c r="G107" s="87"/>
      <c r="H107" s="87"/>
      <c r="I107" s="87"/>
      <c r="J107" s="87"/>
      <c r="K107" s="87"/>
      <c r="L107" s="87"/>
    </row>
    <row r="111" spans="2:27">
      <c r="D111" s="92" t="s">
        <v>2877</v>
      </c>
      <c r="E111" s="93"/>
      <c r="F111" s="93"/>
      <c r="G111" s="93"/>
      <c r="H111" s="93"/>
      <c r="I111" s="93"/>
      <c r="J111" s="93"/>
      <c r="K111" s="94"/>
    </row>
    <row r="112" spans="2:27">
      <c r="D112" s="95"/>
      <c r="E112" s="96"/>
      <c r="F112" s="96"/>
      <c r="G112" s="96"/>
      <c r="H112" s="96"/>
      <c r="I112" s="96"/>
      <c r="J112" s="96"/>
      <c r="K112" s="97"/>
    </row>
    <row r="113" spans="2:27">
      <c r="D113" s="89" t="s">
        <v>5114</v>
      </c>
      <c r="E113" s="89" t="s">
        <v>5115</v>
      </c>
      <c r="F113" s="89" t="s">
        <v>5116</v>
      </c>
      <c r="G113" s="89" t="s">
        <v>5117</v>
      </c>
      <c r="H113" s="89" t="s">
        <v>5119</v>
      </c>
      <c r="I113" s="89" t="s">
        <v>5120</v>
      </c>
      <c r="J113" s="89" t="s">
        <v>5121</v>
      </c>
      <c r="K113" s="89" t="s">
        <v>5122</v>
      </c>
    </row>
    <row r="114" spans="2:27">
      <c r="D114" s="91"/>
      <c r="E114" s="91"/>
      <c r="F114" s="91"/>
      <c r="G114" s="91"/>
      <c r="H114" s="91"/>
      <c r="I114" s="91"/>
      <c r="J114" s="91"/>
      <c r="K114" s="91"/>
    </row>
    <row r="115" spans="2:27">
      <c r="D115" s="45" t="s">
        <v>3375</v>
      </c>
      <c r="E115" s="45" t="s">
        <v>3475</v>
      </c>
      <c r="F115" s="45" t="s">
        <v>3477</v>
      </c>
      <c r="G115" s="45" t="s">
        <v>3479</v>
      </c>
      <c r="H115" s="45" t="s">
        <v>3594</v>
      </c>
      <c r="I115" s="45" t="s">
        <v>3596</v>
      </c>
      <c r="J115" s="45" t="s">
        <v>3599</v>
      </c>
      <c r="K115" s="45" t="s">
        <v>3481</v>
      </c>
      <c r="Z115" s="13" t="str">
        <f>Show!$B$156&amp;"S.27.01.01.03 Rows {"&amp;COLUMN($C$1)&amp;"}"&amp;"@ForceFilingCode:true"</f>
        <v>!S.27.01.01.03 Rows {3}@ForceFilingCode:true</v>
      </c>
      <c r="AA115" s="13" t="str">
        <f>Show!$B$156&amp;"S.27.01.01.03 Columns {"&amp;COLUMN($D$1)&amp;"}"</f>
        <v>!S.27.01.01.03 Columns {4}</v>
      </c>
    </row>
    <row r="116" spans="2:27">
      <c r="B116" s="43" t="s">
        <v>2880</v>
      </c>
      <c r="C116" s="44" t="s">
        <v>2878</v>
      </c>
      <c r="D116" s="58"/>
      <c r="E116" s="67"/>
      <c r="F116" s="67"/>
      <c r="G116" s="67"/>
      <c r="H116" s="67"/>
      <c r="I116" s="67"/>
      <c r="J116" s="67"/>
      <c r="K116" s="59"/>
    </row>
    <row r="117" spans="2:27">
      <c r="B117" s="47" t="s">
        <v>5173</v>
      </c>
      <c r="C117" s="44" t="s">
        <v>2878</v>
      </c>
      <c r="D117" s="58"/>
      <c r="E117" s="66"/>
      <c r="F117" s="66"/>
      <c r="G117" s="66"/>
      <c r="H117" s="66"/>
      <c r="I117" s="66"/>
      <c r="J117" s="66"/>
      <c r="K117" s="57"/>
    </row>
    <row r="118" spans="2:27">
      <c r="B118" s="49" t="s">
        <v>5124</v>
      </c>
      <c r="C118" s="44" t="s">
        <v>3126</v>
      </c>
      <c r="D118" s="48"/>
      <c r="E118" s="60"/>
      <c r="F118" s="60"/>
      <c r="G118" s="70"/>
      <c r="H118" s="60"/>
      <c r="I118" s="60"/>
      <c r="J118" s="60"/>
      <c r="K118" s="60"/>
    </row>
    <row r="119" spans="2:27">
      <c r="B119" s="49" t="s">
        <v>5125</v>
      </c>
      <c r="C119" s="44" t="s">
        <v>3128</v>
      </c>
      <c r="D119" s="48"/>
      <c r="E119" s="60"/>
      <c r="F119" s="60"/>
      <c r="G119" s="70"/>
      <c r="H119" s="60"/>
      <c r="I119" s="60"/>
      <c r="J119" s="60"/>
      <c r="K119" s="60"/>
    </row>
    <row r="120" spans="2:27">
      <c r="B120" s="49" t="s">
        <v>5174</v>
      </c>
      <c r="C120" s="44" t="s">
        <v>3130</v>
      </c>
      <c r="D120" s="48"/>
      <c r="E120" s="60"/>
      <c r="F120" s="60"/>
      <c r="G120" s="70"/>
      <c r="H120" s="60"/>
      <c r="I120" s="60"/>
      <c r="J120" s="60"/>
      <c r="K120" s="60"/>
    </row>
    <row r="121" spans="2:27">
      <c r="B121" s="49" t="s">
        <v>5175</v>
      </c>
      <c r="C121" s="44" t="s">
        <v>3132</v>
      </c>
      <c r="D121" s="48"/>
      <c r="E121" s="60"/>
      <c r="F121" s="60"/>
      <c r="G121" s="70"/>
      <c r="H121" s="60"/>
      <c r="I121" s="60"/>
      <c r="J121" s="60"/>
      <c r="K121" s="60"/>
    </row>
    <row r="122" spans="2:27">
      <c r="B122" s="49" t="s">
        <v>5176</v>
      </c>
      <c r="C122" s="44" t="s">
        <v>3134</v>
      </c>
      <c r="D122" s="48"/>
      <c r="E122" s="60"/>
      <c r="F122" s="60"/>
      <c r="G122" s="70"/>
      <c r="H122" s="60"/>
      <c r="I122" s="60"/>
      <c r="J122" s="60"/>
      <c r="K122" s="60"/>
    </row>
    <row r="123" spans="2:27">
      <c r="B123" s="49" t="s">
        <v>5126</v>
      </c>
      <c r="C123" s="44" t="s">
        <v>3136</v>
      </c>
      <c r="D123" s="48"/>
      <c r="E123" s="60"/>
      <c r="F123" s="60"/>
      <c r="G123" s="70"/>
      <c r="H123" s="60"/>
      <c r="I123" s="60"/>
      <c r="J123" s="60"/>
      <c r="K123" s="60"/>
    </row>
    <row r="124" spans="2:27">
      <c r="B124" s="49" t="s">
        <v>5127</v>
      </c>
      <c r="C124" s="44" t="s">
        <v>3138</v>
      </c>
      <c r="D124" s="48"/>
      <c r="E124" s="60"/>
      <c r="F124" s="60"/>
      <c r="G124" s="70"/>
      <c r="H124" s="60"/>
      <c r="I124" s="60"/>
      <c r="J124" s="60"/>
      <c r="K124" s="60"/>
    </row>
    <row r="125" spans="2:27" ht="30">
      <c r="B125" s="49" t="s">
        <v>5131</v>
      </c>
      <c r="C125" s="44" t="s">
        <v>3140</v>
      </c>
      <c r="D125" s="48"/>
      <c r="E125" s="60"/>
      <c r="F125" s="60"/>
      <c r="G125" s="70"/>
      <c r="H125" s="60"/>
      <c r="I125" s="60"/>
      <c r="J125" s="60"/>
      <c r="K125" s="60"/>
    </row>
    <row r="126" spans="2:27">
      <c r="B126" s="49" t="s">
        <v>5132</v>
      </c>
      <c r="C126" s="44" t="s">
        <v>3142</v>
      </c>
      <c r="D126" s="48"/>
      <c r="E126" s="60"/>
      <c r="F126" s="60"/>
      <c r="G126" s="70"/>
      <c r="H126" s="60"/>
      <c r="I126" s="60"/>
      <c r="J126" s="60"/>
      <c r="K126" s="60"/>
    </row>
    <row r="127" spans="2:27">
      <c r="B127" s="49" t="s">
        <v>5177</v>
      </c>
      <c r="C127" s="44" t="s">
        <v>3144</v>
      </c>
      <c r="D127" s="48"/>
      <c r="E127" s="60"/>
      <c r="F127" s="60"/>
      <c r="G127" s="70"/>
      <c r="H127" s="60"/>
      <c r="I127" s="60"/>
      <c r="J127" s="60"/>
      <c r="K127" s="60"/>
    </row>
    <row r="128" spans="2:27">
      <c r="B128" s="49" t="s">
        <v>5133</v>
      </c>
      <c r="C128" s="44" t="s">
        <v>3146</v>
      </c>
      <c r="D128" s="48"/>
      <c r="E128" s="60"/>
      <c r="F128" s="60"/>
      <c r="G128" s="70"/>
      <c r="H128" s="60"/>
      <c r="I128" s="60"/>
      <c r="J128" s="60"/>
      <c r="K128" s="60"/>
    </row>
    <row r="129" spans="2:11">
      <c r="B129" s="49" t="s">
        <v>5178</v>
      </c>
      <c r="C129" s="44" t="s">
        <v>3148</v>
      </c>
      <c r="D129" s="48"/>
      <c r="E129" s="60"/>
      <c r="F129" s="60"/>
      <c r="G129" s="70"/>
      <c r="H129" s="60"/>
      <c r="I129" s="60"/>
      <c r="J129" s="60"/>
      <c r="K129" s="60"/>
    </row>
    <row r="130" spans="2:11">
      <c r="B130" s="49" t="s">
        <v>5179</v>
      </c>
      <c r="C130" s="44" t="s">
        <v>3091</v>
      </c>
      <c r="D130" s="48"/>
      <c r="E130" s="60"/>
      <c r="F130" s="60"/>
      <c r="G130" s="70"/>
      <c r="H130" s="60"/>
      <c r="I130" s="60"/>
      <c r="J130" s="60"/>
      <c r="K130" s="60"/>
    </row>
    <row r="131" spans="2:11">
      <c r="B131" s="49" t="s">
        <v>5180</v>
      </c>
      <c r="C131" s="44" t="s">
        <v>3098</v>
      </c>
      <c r="D131" s="48"/>
      <c r="E131" s="60"/>
      <c r="F131" s="60"/>
      <c r="G131" s="70"/>
      <c r="H131" s="60"/>
      <c r="I131" s="60"/>
      <c r="J131" s="60"/>
      <c r="K131" s="60"/>
    </row>
    <row r="132" spans="2:11">
      <c r="B132" s="49" t="s">
        <v>5181</v>
      </c>
      <c r="C132" s="44" t="s">
        <v>3093</v>
      </c>
      <c r="D132" s="48"/>
      <c r="E132" s="60"/>
      <c r="F132" s="60"/>
      <c r="G132" s="70"/>
      <c r="H132" s="60"/>
      <c r="I132" s="60"/>
      <c r="J132" s="60"/>
      <c r="K132" s="60"/>
    </row>
    <row r="133" spans="2:11">
      <c r="B133" s="49" t="s">
        <v>5182</v>
      </c>
      <c r="C133" s="44" t="s">
        <v>3100</v>
      </c>
      <c r="D133" s="48"/>
      <c r="E133" s="60"/>
      <c r="F133" s="60"/>
      <c r="G133" s="70"/>
      <c r="H133" s="60"/>
      <c r="I133" s="60"/>
      <c r="J133" s="60"/>
      <c r="K133" s="60"/>
    </row>
    <row r="134" spans="2:11">
      <c r="B134" s="49" t="s">
        <v>5129</v>
      </c>
      <c r="C134" s="44" t="s">
        <v>3200</v>
      </c>
      <c r="D134" s="48"/>
      <c r="E134" s="60"/>
      <c r="F134" s="60"/>
      <c r="G134" s="70"/>
      <c r="H134" s="60"/>
      <c r="I134" s="60"/>
      <c r="J134" s="60"/>
      <c r="K134" s="60"/>
    </row>
    <row r="135" spans="2:11">
      <c r="B135" s="49" t="s">
        <v>5145</v>
      </c>
      <c r="C135" s="44" t="s">
        <v>3315</v>
      </c>
      <c r="D135" s="48"/>
      <c r="E135" s="60"/>
      <c r="F135" s="60"/>
      <c r="G135" s="70"/>
      <c r="H135" s="60"/>
      <c r="I135" s="60"/>
      <c r="J135" s="60"/>
      <c r="K135" s="60"/>
    </row>
    <row r="136" spans="2:11">
      <c r="B136" s="49" t="s">
        <v>5146</v>
      </c>
      <c r="C136" s="44" t="s">
        <v>3496</v>
      </c>
      <c r="D136" s="48"/>
      <c r="E136" s="60"/>
      <c r="F136" s="60"/>
      <c r="G136" s="70"/>
      <c r="H136" s="60"/>
      <c r="I136" s="60"/>
      <c r="J136" s="60"/>
      <c r="K136" s="60"/>
    </row>
    <row r="137" spans="2:11">
      <c r="B137" s="49" t="s">
        <v>5147</v>
      </c>
      <c r="C137" s="44" t="s">
        <v>3497</v>
      </c>
      <c r="D137" s="48"/>
      <c r="E137" s="60"/>
      <c r="F137" s="60"/>
      <c r="G137" s="70"/>
      <c r="H137" s="60"/>
      <c r="I137" s="60"/>
      <c r="J137" s="60"/>
      <c r="K137" s="60"/>
    </row>
    <row r="138" spans="2:11">
      <c r="B138" s="49" t="s">
        <v>5183</v>
      </c>
      <c r="C138" s="44" t="s">
        <v>3498</v>
      </c>
      <c r="D138" s="46"/>
      <c r="E138" s="63"/>
      <c r="F138" s="63"/>
      <c r="G138" s="76"/>
      <c r="H138" s="63"/>
      <c r="I138" s="63"/>
      <c r="J138" s="63"/>
      <c r="K138" s="63"/>
    </row>
    <row r="139" spans="2:11">
      <c r="B139" s="49" t="s">
        <v>5150</v>
      </c>
      <c r="C139" s="41" t="s">
        <v>3499</v>
      </c>
      <c r="D139" s="64"/>
      <c r="E139" s="58"/>
      <c r="F139" s="58"/>
      <c r="G139" s="58"/>
      <c r="H139" s="58"/>
      <c r="I139" s="58"/>
      <c r="J139" s="58"/>
      <c r="K139" s="48"/>
    </row>
    <row r="140" spans="2:11">
      <c r="B140" s="49" t="s">
        <v>5151</v>
      </c>
      <c r="C140" s="41" t="s">
        <v>4939</v>
      </c>
      <c r="D140" s="64"/>
      <c r="E140" s="58"/>
      <c r="F140" s="58"/>
      <c r="G140" s="58"/>
      <c r="H140" s="58"/>
      <c r="I140" s="58"/>
      <c r="J140" s="58"/>
      <c r="K140" s="48"/>
    </row>
    <row r="141" spans="2:11">
      <c r="B141" s="49" t="s">
        <v>5152</v>
      </c>
      <c r="C141" s="41" t="s">
        <v>5184</v>
      </c>
      <c r="D141" s="64"/>
      <c r="E141" s="58"/>
      <c r="F141" s="58"/>
      <c r="G141" s="58"/>
      <c r="H141" s="58"/>
      <c r="I141" s="58"/>
      <c r="J141" s="58"/>
      <c r="K141" s="48"/>
    </row>
    <row r="142" spans="2:11">
      <c r="B142" s="49" t="s">
        <v>5153</v>
      </c>
      <c r="C142" s="41" t="s">
        <v>5185</v>
      </c>
      <c r="D142" s="64"/>
      <c r="E142" s="58"/>
      <c r="F142" s="58"/>
      <c r="G142" s="58"/>
      <c r="H142" s="58"/>
      <c r="I142" s="58"/>
      <c r="J142" s="58"/>
      <c r="K142" s="48"/>
    </row>
    <row r="143" spans="2:11">
      <c r="B143" s="49" t="s">
        <v>5154</v>
      </c>
      <c r="C143" s="41" t="s">
        <v>5186</v>
      </c>
      <c r="D143" s="64"/>
      <c r="E143" s="58"/>
      <c r="F143" s="58"/>
      <c r="G143" s="58"/>
      <c r="H143" s="58"/>
      <c r="I143" s="58"/>
      <c r="J143" s="58"/>
      <c r="K143" s="48"/>
    </row>
    <row r="144" spans="2:11">
      <c r="B144" s="49" t="s">
        <v>5155</v>
      </c>
      <c r="C144" s="41" t="s">
        <v>5187</v>
      </c>
      <c r="D144" s="64"/>
      <c r="E144" s="58"/>
      <c r="F144" s="58"/>
      <c r="G144" s="58"/>
      <c r="H144" s="58"/>
      <c r="I144" s="58"/>
      <c r="J144" s="58"/>
      <c r="K144" s="48"/>
    </row>
    <row r="145" spans="2:11">
      <c r="B145" s="49" t="s">
        <v>5156</v>
      </c>
      <c r="C145" s="41" t="s">
        <v>3500</v>
      </c>
      <c r="D145" s="64"/>
      <c r="E145" s="58"/>
      <c r="F145" s="58"/>
      <c r="G145" s="58"/>
      <c r="H145" s="58"/>
      <c r="I145" s="58"/>
      <c r="J145" s="58"/>
      <c r="K145" s="48"/>
    </row>
    <row r="146" spans="2:11">
      <c r="B146" s="49" t="s">
        <v>5157</v>
      </c>
      <c r="C146" s="41" t="s">
        <v>4507</v>
      </c>
      <c r="D146" s="64"/>
      <c r="E146" s="58"/>
      <c r="F146" s="58"/>
      <c r="G146" s="58"/>
      <c r="H146" s="58"/>
      <c r="I146" s="58"/>
      <c r="J146" s="58"/>
      <c r="K146" s="48"/>
    </row>
    <row r="147" spans="2:11">
      <c r="B147" s="49" t="s">
        <v>5158</v>
      </c>
      <c r="C147" s="41" t="s">
        <v>4508</v>
      </c>
      <c r="D147" s="64"/>
      <c r="E147" s="58"/>
      <c r="F147" s="58"/>
      <c r="G147" s="58"/>
      <c r="H147" s="58"/>
      <c r="I147" s="58"/>
      <c r="J147" s="58"/>
      <c r="K147" s="48"/>
    </row>
    <row r="148" spans="2:11">
      <c r="B148" s="49" t="s">
        <v>5159</v>
      </c>
      <c r="C148" s="41" t="s">
        <v>5188</v>
      </c>
      <c r="D148" s="64"/>
      <c r="E148" s="58"/>
      <c r="F148" s="58"/>
      <c r="G148" s="58"/>
      <c r="H148" s="58"/>
      <c r="I148" s="58"/>
      <c r="J148" s="58"/>
      <c r="K148" s="48"/>
    </row>
    <row r="149" spans="2:11">
      <c r="B149" s="49" t="s">
        <v>5160</v>
      </c>
      <c r="C149" s="41" t="s">
        <v>5189</v>
      </c>
      <c r="D149" s="64"/>
      <c r="E149" s="58"/>
      <c r="F149" s="58"/>
      <c r="G149" s="58"/>
      <c r="H149" s="58"/>
      <c r="I149" s="58"/>
      <c r="J149" s="58"/>
      <c r="K149" s="48"/>
    </row>
    <row r="150" spans="2:11">
      <c r="B150" s="49" t="s">
        <v>5161</v>
      </c>
      <c r="C150" s="41" t="s">
        <v>5190</v>
      </c>
      <c r="D150" s="64"/>
      <c r="E150" s="58"/>
      <c r="F150" s="58"/>
      <c r="G150" s="58"/>
      <c r="H150" s="58"/>
      <c r="I150" s="58"/>
      <c r="J150" s="58"/>
      <c r="K150" s="48"/>
    </row>
    <row r="151" spans="2:11">
      <c r="B151" s="49" t="s">
        <v>5162</v>
      </c>
      <c r="C151" s="41" t="s">
        <v>5191</v>
      </c>
      <c r="D151" s="64"/>
      <c r="E151" s="58"/>
      <c r="F151" s="58"/>
      <c r="G151" s="58"/>
      <c r="H151" s="58"/>
      <c r="I151" s="58"/>
      <c r="J151" s="58"/>
      <c r="K151" s="48"/>
    </row>
    <row r="152" spans="2:11">
      <c r="B152" s="49" t="s">
        <v>5163</v>
      </c>
      <c r="C152" s="41" t="s">
        <v>5192</v>
      </c>
      <c r="D152" s="64"/>
      <c r="E152" s="58"/>
      <c r="F152" s="58"/>
      <c r="G152" s="58"/>
      <c r="H152" s="58"/>
      <c r="I152" s="58"/>
      <c r="J152" s="58"/>
      <c r="K152" s="48"/>
    </row>
    <row r="153" spans="2:11">
      <c r="B153" s="49" t="s">
        <v>5164</v>
      </c>
      <c r="C153" s="41" t="s">
        <v>5193</v>
      </c>
      <c r="D153" s="64"/>
      <c r="E153" s="58"/>
      <c r="F153" s="58"/>
      <c r="G153" s="58"/>
      <c r="H153" s="58"/>
      <c r="I153" s="58"/>
      <c r="J153" s="58"/>
      <c r="K153" s="48"/>
    </row>
    <row r="154" spans="2:11">
      <c r="B154" s="49" t="s">
        <v>5165</v>
      </c>
      <c r="C154" s="41" t="s">
        <v>5194</v>
      </c>
      <c r="D154" s="64"/>
      <c r="E154" s="58"/>
      <c r="F154" s="58"/>
      <c r="G154" s="58"/>
      <c r="H154" s="58"/>
      <c r="I154" s="58"/>
      <c r="J154" s="58"/>
      <c r="K154" s="48"/>
    </row>
    <row r="155" spans="2:11">
      <c r="B155" s="49" t="s">
        <v>5166</v>
      </c>
      <c r="C155" s="41" t="s">
        <v>3502</v>
      </c>
      <c r="D155" s="64"/>
      <c r="E155" s="58"/>
      <c r="F155" s="58"/>
      <c r="G155" s="58"/>
      <c r="H155" s="58"/>
      <c r="I155" s="58"/>
      <c r="J155" s="58"/>
      <c r="K155" s="48"/>
    </row>
    <row r="156" spans="2:11">
      <c r="B156" s="49" t="s">
        <v>5167</v>
      </c>
      <c r="C156" s="41" t="s">
        <v>5195</v>
      </c>
      <c r="D156" s="64"/>
      <c r="E156" s="58"/>
      <c r="F156" s="58"/>
      <c r="G156" s="58"/>
      <c r="H156" s="56"/>
      <c r="I156" s="56"/>
      <c r="J156" s="56"/>
      <c r="K156" s="46"/>
    </row>
    <row r="157" spans="2:11">
      <c r="B157" s="49" t="s">
        <v>5196</v>
      </c>
      <c r="C157" s="41" t="s">
        <v>5197</v>
      </c>
      <c r="D157" s="65"/>
      <c r="E157" s="58"/>
      <c r="F157" s="58"/>
      <c r="G157" s="48"/>
      <c r="H157" s="60"/>
      <c r="I157" s="60"/>
      <c r="J157" s="60"/>
      <c r="K157" s="60"/>
    </row>
    <row r="158" spans="2:11">
      <c r="B158" s="49" t="s">
        <v>5198</v>
      </c>
      <c r="C158" s="44" t="s">
        <v>5199</v>
      </c>
      <c r="D158" s="58"/>
      <c r="E158" s="58"/>
      <c r="F158" s="58"/>
      <c r="G158" s="48"/>
      <c r="H158" s="60"/>
      <c r="I158" s="63"/>
      <c r="J158" s="63"/>
      <c r="K158" s="60"/>
    </row>
    <row r="159" spans="2:11">
      <c r="B159" s="49" t="s">
        <v>5170</v>
      </c>
      <c r="C159" s="44" t="s">
        <v>5200</v>
      </c>
      <c r="D159" s="58"/>
      <c r="E159" s="58"/>
      <c r="F159" s="58"/>
      <c r="G159" s="48"/>
      <c r="H159" s="64"/>
      <c r="I159" s="58"/>
      <c r="J159" s="48"/>
      <c r="K159" s="60"/>
    </row>
    <row r="160" spans="2:11">
      <c r="B160" s="49" t="s">
        <v>5201</v>
      </c>
      <c r="C160" s="44" t="s">
        <v>5202</v>
      </c>
      <c r="D160" s="56"/>
      <c r="E160" s="56"/>
      <c r="F160" s="56"/>
      <c r="G160" s="46"/>
      <c r="H160" s="64"/>
      <c r="I160" s="56"/>
      <c r="J160" s="46"/>
      <c r="K160" s="60"/>
    </row>
    <row r="162" spans="2:27">
      <c r="Z162" s="13" t="str">
        <f>Show!$B$156&amp;Show!$B$156&amp;"S.27.01.01.03 Rows {"&amp;COLUMN($C$1)&amp;"}"</f>
        <v>!!S.27.01.01.03 Rows {3}</v>
      </c>
      <c r="AA162" s="13" t="str">
        <f>Show!$B$156&amp;Show!$B$156&amp;"S.27.01.01.03 Columns {"&amp;COLUMN($K$1)&amp;"}"</f>
        <v>!!S.27.01.01.03 Columns {11}</v>
      </c>
    </row>
    <row r="164" spans="2:27" ht="18.75">
      <c r="B164" s="88" t="s">
        <v>5203</v>
      </c>
      <c r="C164" s="87"/>
      <c r="D164" s="87"/>
      <c r="E164" s="87"/>
      <c r="F164" s="87"/>
      <c r="G164" s="87"/>
      <c r="H164" s="87"/>
      <c r="I164" s="87"/>
      <c r="J164" s="87"/>
      <c r="K164" s="87"/>
      <c r="L164" s="87"/>
    </row>
    <row r="168" spans="2:27">
      <c r="D168" s="92" t="s">
        <v>2877</v>
      </c>
      <c r="E168" s="93"/>
      <c r="F168" s="93"/>
      <c r="G168" s="93"/>
      <c r="H168" s="93"/>
      <c r="I168" s="93"/>
      <c r="J168" s="93"/>
      <c r="K168" s="93"/>
      <c r="L168" s="94"/>
    </row>
    <row r="169" spans="2:27">
      <c r="D169" s="95"/>
      <c r="E169" s="96"/>
      <c r="F169" s="96"/>
      <c r="G169" s="96"/>
      <c r="H169" s="96"/>
      <c r="I169" s="96"/>
      <c r="J169" s="96"/>
      <c r="K169" s="96"/>
      <c r="L169" s="97"/>
    </row>
    <row r="170" spans="2:27">
      <c r="D170" s="89" t="s">
        <v>5114</v>
      </c>
      <c r="E170" s="89" t="s">
        <v>5115</v>
      </c>
      <c r="F170" s="89" t="s">
        <v>5116</v>
      </c>
      <c r="G170" s="89" t="s">
        <v>5117</v>
      </c>
      <c r="H170" s="89" t="s">
        <v>5118</v>
      </c>
      <c r="I170" s="89" t="s">
        <v>5119</v>
      </c>
      <c r="J170" s="89" t="s">
        <v>5120</v>
      </c>
      <c r="K170" s="89" t="s">
        <v>5121</v>
      </c>
      <c r="L170" s="89" t="s">
        <v>5122</v>
      </c>
    </row>
    <row r="171" spans="2:27">
      <c r="D171" s="91"/>
      <c r="E171" s="91"/>
      <c r="F171" s="91"/>
      <c r="G171" s="91"/>
      <c r="H171" s="91"/>
      <c r="I171" s="91"/>
      <c r="J171" s="91"/>
      <c r="K171" s="91"/>
      <c r="L171" s="91"/>
    </row>
    <row r="172" spans="2:27">
      <c r="D172" s="45" t="s">
        <v>3508</v>
      </c>
      <c r="E172" s="45" t="s">
        <v>3509</v>
      </c>
      <c r="F172" s="45" t="s">
        <v>3511</v>
      </c>
      <c r="G172" s="45" t="s">
        <v>3513</v>
      </c>
      <c r="H172" s="45" t="s">
        <v>3514</v>
      </c>
      <c r="I172" s="45" t="s">
        <v>3515</v>
      </c>
      <c r="J172" s="45" t="s">
        <v>3517</v>
      </c>
      <c r="K172" s="45" t="s">
        <v>3518</v>
      </c>
      <c r="L172" s="45" t="s">
        <v>3608</v>
      </c>
      <c r="Z172" s="13" t="str">
        <f>Show!$B$156&amp;"S.27.01.01.04 Rows {"&amp;COLUMN($C$1)&amp;"}"&amp;"@ForceFilingCode:true"</f>
        <v>!S.27.01.01.04 Rows {3}@ForceFilingCode:true</v>
      </c>
      <c r="AA172" s="13" t="str">
        <f>Show!$B$156&amp;"S.27.01.01.04 Columns {"&amp;COLUMN($D$1)&amp;"}"</f>
        <v>!S.27.01.01.04 Columns {4}</v>
      </c>
    </row>
    <row r="173" spans="2:27">
      <c r="B173" s="43" t="s">
        <v>2880</v>
      </c>
      <c r="C173" s="44" t="s">
        <v>2878</v>
      </c>
      <c r="D173" s="58"/>
      <c r="E173" s="67"/>
      <c r="F173" s="67"/>
      <c r="G173" s="67"/>
      <c r="H173" s="67"/>
      <c r="I173" s="67"/>
      <c r="J173" s="67"/>
      <c r="K173" s="67"/>
      <c r="L173" s="59"/>
    </row>
    <row r="174" spans="2:27">
      <c r="B174" s="47" t="s">
        <v>5204</v>
      </c>
      <c r="C174" s="44" t="s">
        <v>2878</v>
      </c>
      <c r="D174" s="58"/>
      <c r="E174" s="66"/>
      <c r="F174" s="66"/>
      <c r="G174" s="66"/>
      <c r="H174" s="66"/>
      <c r="I174" s="66"/>
      <c r="J174" s="66"/>
      <c r="K174" s="66"/>
      <c r="L174" s="57"/>
    </row>
    <row r="175" spans="2:27">
      <c r="B175" s="49" t="s">
        <v>5124</v>
      </c>
      <c r="C175" s="44" t="s">
        <v>5205</v>
      </c>
      <c r="D175" s="48"/>
      <c r="E175" s="60"/>
      <c r="F175" s="60"/>
      <c r="G175" s="70"/>
      <c r="H175" s="51"/>
      <c r="I175" s="60"/>
      <c r="J175" s="60"/>
      <c r="K175" s="60"/>
      <c r="L175" s="60"/>
    </row>
    <row r="176" spans="2:27">
      <c r="B176" s="49" t="s">
        <v>5125</v>
      </c>
      <c r="C176" s="44" t="s">
        <v>5206</v>
      </c>
      <c r="D176" s="48"/>
      <c r="E176" s="60"/>
      <c r="F176" s="60"/>
      <c r="G176" s="70"/>
      <c r="H176" s="51"/>
      <c r="I176" s="60"/>
      <c r="J176" s="60"/>
      <c r="K176" s="60"/>
      <c r="L176" s="60"/>
    </row>
    <row r="177" spans="2:12">
      <c r="B177" s="49" t="s">
        <v>5174</v>
      </c>
      <c r="C177" s="44" t="s">
        <v>5207</v>
      </c>
      <c r="D177" s="48"/>
      <c r="E177" s="60"/>
      <c r="F177" s="60"/>
      <c r="G177" s="70"/>
      <c r="H177" s="51"/>
      <c r="I177" s="60"/>
      <c r="J177" s="60"/>
      <c r="K177" s="60"/>
      <c r="L177" s="60"/>
    </row>
    <row r="178" spans="2:12">
      <c r="B178" s="49" t="s">
        <v>5126</v>
      </c>
      <c r="C178" s="44" t="s">
        <v>5208</v>
      </c>
      <c r="D178" s="48"/>
      <c r="E178" s="60"/>
      <c r="F178" s="60"/>
      <c r="G178" s="70"/>
      <c r="H178" s="51"/>
      <c r="I178" s="60"/>
      <c r="J178" s="60"/>
      <c r="K178" s="60"/>
      <c r="L178" s="60"/>
    </row>
    <row r="179" spans="2:12">
      <c r="B179" s="49" t="s">
        <v>5127</v>
      </c>
      <c r="C179" s="44" t="s">
        <v>3504</v>
      </c>
      <c r="D179" s="48"/>
      <c r="E179" s="60"/>
      <c r="F179" s="60"/>
      <c r="G179" s="70"/>
      <c r="H179" s="51"/>
      <c r="I179" s="60"/>
      <c r="J179" s="60"/>
      <c r="K179" s="60"/>
      <c r="L179" s="60"/>
    </row>
    <row r="180" spans="2:12" ht="30">
      <c r="B180" s="49" t="s">
        <v>5131</v>
      </c>
      <c r="C180" s="44" t="s">
        <v>5209</v>
      </c>
      <c r="D180" s="48"/>
      <c r="E180" s="60"/>
      <c r="F180" s="60"/>
      <c r="G180" s="70"/>
      <c r="H180" s="51"/>
      <c r="I180" s="60"/>
      <c r="J180" s="60"/>
      <c r="K180" s="60"/>
      <c r="L180" s="60"/>
    </row>
    <row r="181" spans="2:12">
      <c r="B181" s="49" t="s">
        <v>5132</v>
      </c>
      <c r="C181" s="44" t="s">
        <v>5210</v>
      </c>
      <c r="D181" s="48"/>
      <c r="E181" s="60"/>
      <c r="F181" s="60"/>
      <c r="G181" s="70"/>
      <c r="H181" s="51"/>
      <c r="I181" s="60"/>
      <c r="J181" s="60"/>
      <c r="K181" s="60"/>
      <c r="L181" s="60"/>
    </row>
    <row r="182" spans="2:12">
      <c r="B182" s="49" t="s">
        <v>5133</v>
      </c>
      <c r="C182" s="44" t="s">
        <v>5211</v>
      </c>
      <c r="D182" s="48"/>
      <c r="E182" s="60"/>
      <c r="F182" s="60"/>
      <c r="G182" s="70"/>
      <c r="H182" s="51"/>
      <c r="I182" s="60"/>
      <c r="J182" s="60"/>
      <c r="K182" s="60"/>
      <c r="L182" s="60"/>
    </row>
    <row r="183" spans="2:12">
      <c r="B183" s="49" t="s">
        <v>5178</v>
      </c>
      <c r="C183" s="44" t="s">
        <v>5212</v>
      </c>
      <c r="D183" s="48"/>
      <c r="E183" s="60"/>
      <c r="F183" s="60"/>
      <c r="G183" s="70"/>
      <c r="H183" s="51"/>
      <c r="I183" s="60"/>
      <c r="J183" s="60"/>
      <c r="K183" s="60"/>
      <c r="L183" s="60"/>
    </row>
    <row r="184" spans="2:12">
      <c r="B184" s="49" t="s">
        <v>5139</v>
      </c>
      <c r="C184" s="44" t="s">
        <v>5213</v>
      </c>
      <c r="D184" s="48"/>
      <c r="E184" s="60"/>
      <c r="F184" s="60"/>
      <c r="G184" s="70"/>
      <c r="H184" s="51"/>
      <c r="I184" s="60"/>
      <c r="J184" s="60"/>
      <c r="K184" s="60"/>
      <c r="L184" s="60"/>
    </row>
    <row r="185" spans="2:12">
      <c r="B185" s="49" t="s">
        <v>5181</v>
      </c>
      <c r="C185" s="44" t="s">
        <v>5214</v>
      </c>
      <c r="D185" s="48"/>
      <c r="E185" s="60"/>
      <c r="F185" s="60"/>
      <c r="G185" s="70"/>
      <c r="H185" s="51"/>
      <c r="I185" s="60"/>
      <c r="J185" s="60"/>
      <c r="K185" s="60"/>
      <c r="L185" s="60"/>
    </row>
    <row r="186" spans="2:12">
      <c r="B186" s="49" t="s">
        <v>5182</v>
      </c>
      <c r="C186" s="44" t="s">
        <v>5215</v>
      </c>
      <c r="D186" s="48"/>
      <c r="E186" s="60"/>
      <c r="F186" s="60"/>
      <c r="G186" s="70"/>
      <c r="H186" s="51"/>
      <c r="I186" s="60"/>
      <c r="J186" s="60"/>
      <c r="K186" s="60"/>
      <c r="L186" s="60"/>
    </row>
    <row r="187" spans="2:12">
      <c r="B187" s="49" t="s">
        <v>5129</v>
      </c>
      <c r="C187" s="44" t="s">
        <v>5216</v>
      </c>
      <c r="D187" s="48"/>
      <c r="E187" s="60"/>
      <c r="F187" s="60"/>
      <c r="G187" s="70"/>
      <c r="H187" s="51"/>
      <c r="I187" s="60"/>
      <c r="J187" s="60"/>
      <c r="K187" s="60"/>
      <c r="L187" s="60"/>
    </row>
    <row r="188" spans="2:12">
      <c r="B188" s="49" t="s">
        <v>5144</v>
      </c>
      <c r="C188" s="44" t="s">
        <v>5217</v>
      </c>
      <c r="D188" s="48"/>
      <c r="E188" s="60"/>
      <c r="F188" s="60"/>
      <c r="G188" s="70"/>
      <c r="H188" s="68"/>
      <c r="I188" s="60"/>
      <c r="J188" s="60"/>
      <c r="K188" s="60"/>
      <c r="L188" s="60"/>
    </row>
    <row r="189" spans="2:12">
      <c r="B189" s="49" t="s">
        <v>5218</v>
      </c>
      <c r="C189" s="44" t="s">
        <v>4947</v>
      </c>
      <c r="D189" s="46"/>
      <c r="E189" s="63"/>
      <c r="F189" s="63"/>
      <c r="G189" s="78"/>
      <c r="H189" s="48"/>
      <c r="I189" s="63"/>
      <c r="J189" s="63"/>
      <c r="K189" s="63"/>
      <c r="L189" s="63"/>
    </row>
    <row r="190" spans="2:12">
      <c r="B190" s="49" t="s">
        <v>5150</v>
      </c>
      <c r="C190" s="41" t="s">
        <v>3521</v>
      </c>
      <c r="D190" s="64"/>
      <c r="E190" s="58"/>
      <c r="F190" s="58"/>
      <c r="G190" s="58"/>
      <c r="H190" s="58"/>
      <c r="I190" s="58"/>
      <c r="J190" s="58"/>
      <c r="K190" s="58"/>
      <c r="L190" s="48"/>
    </row>
    <row r="191" spans="2:12">
      <c r="B191" s="49" t="s">
        <v>5151</v>
      </c>
      <c r="C191" s="41" t="s">
        <v>3522</v>
      </c>
      <c r="D191" s="64"/>
      <c r="E191" s="58"/>
      <c r="F191" s="58"/>
      <c r="G191" s="58"/>
      <c r="H191" s="58"/>
      <c r="I191" s="58"/>
      <c r="J191" s="58"/>
      <c r="K191" s="58"/>
      <c r="L191" s="48"/>
    </row>
    <row r="192" spans="2:12">
      <c r="B192" s="49" t="s">
        <v>5152</v>
      </c>
      <c r="C192" s="41" t="s">
        <v>5219</v>
      </c>
      <c r="D192" s="64"/>
      <c r="E192" s="58"/>
      <c r="F192" s="58"/>
      <c r="G192" s="58"/>
      <c r="H192" s="58"/>
      <c r="I192" s="58"/>
      <c r="J192" s="58"/>
      <c r="K192" s="58"/>
      <c r="L192" s="48"/>
    </row>
    <row r="193" spans="2:12">
      <c r="B193" s="49" t="s">
        <v>5153</v>
      </c>
      <c r="C193" s="41" t="s">
        <v>5220</v>
      </c>
      <c r="D193" s="64"/>
      <c r="E193" s="58"/>
      <c r="F193" s="58"/>
      <c r="G193" s="58"/>
      <c r="H193" s="58"/>
      <c r="I193" s="58"/>
      <c r="J193" s="58"/>
      <c r="K193" s="58"/>
      <c r="L193" s="48"/>
    </row>
    <row r="194" spans="2:12">
      <c r="B194" s="49" t="s">
        <v>5154</v>
      </c>
      <c r="C194" s="41" t="s">
        <v>5221</v>
      </c>
      <c r="D194" s="64"/>
      <c r="E194" s="58"/>
      <c r="F194" s="58"/>
      <c r="G194" s="58"/>
      <c r="H194" s="58"/>
      <c r="I194" s="58"/>
      <c r="J194" s="58"/>
      <c r="K194" s="58"/>
      <c r="L194" s="48"/>
    </row>
    <row r="195" spans="2:12">
      <c r="B195" s="49" t="s">
        <v>5155</v>
      </c>
      <c r="C195" s="41" t="s">
        <v>5222</v>
      </c>
      <c r="D195" s="64"/>
      <c r="E195" s="58"/>
      <c r="F195" s="58"/>
      <c r="G195" s="58"/>
      <c r="H195" s="58"/>
      <c r="I195" s="58"/>
      <c r="J195" s="58"/>
      <c r="K195" s="58"/>
      <c r="L195" s="48"/>
    </row>
    <row r="196" spans="2:12">
      <c r="B196" s="49" t="s">
        <v>5156</v>
      </c>
      <c r="C196" s="41" t="s">
        <v>5223</v>
      </c>
      <c r="D196" s="64"/>
      <c r="E196" s="58"/>
      <c r="F196" s="58"/>
      <c r="G196" s="58"/>
      <c r="H196" s="58"/>
      <c r="I196" s="58"/>
      <c r="J196" s="58"/>
      <c r="K196" s="58"/>
      <c r="L196" s="48"/>
    </row>
    <row r="197" spans="2:12">
      <c r="B197" s="49" t="s">
        <v>5157</v>
      </c>
      <c r="C197" s="41" t="s">
        <v>5224</v>
      </c>
      <c r="D197" s="64"/>
      <c r="E197" s="58"/>
      <c r="F197" s="58"/>
      <c r="G197" s="58"/>
      <c r="H197" s="58"/>
      <c r="I197" s="58"/>
      <c r="J197" s="58"/>
      <c r="K197" s="58"/>
      <c r="L197" s="48"/>
    </row>
    <row r="198" spans="2:12">
      <c r="B198" s="49" t="s">
        <v>5158</v>
      </c>
      <c r="C198" s="41" t="s">
        <v>5225</v>
      </c>
      <c r="D198" s="64"/>
      <c r="E198" s="58"/>
      <c r="F198" s="58"/>
      <c r="G198" s="58"/>
      <c r="H198" s="58"/>
      <c r="I198" s="58"/>
      <c r="J198" s="58"/>
      <c r="K198" s="58"/>
      <c r="L198" s="48"/>
    </row>
    <row r="199" spans="2:12">
      <c r="B199" s="49" t="s">
        <v>5159</v>
      </c>
      <c r="C199" s="41" t="s">
        <v>3523</v>
      </c>
      <c r="D199" s="64"/>
      <c r="E199" s="58"/>
      <c r="F199" s="58"/>
      <c r="G199" s="58"/>
      <c r="H199" s="58"/>
      <c r="I199" s="58"/>
      <c r="J199" s="58"/>
      <c r="K199" s="58"/>
      <c r="L199" s="48"/>
    </row>
    <row r="200" spans="2:12">
      <c r="B200" s="49" t="s">
        <v>5160</v>
      </c>
      <c r="C200" s="41" t="s">
        <v>3524</v>
      </c>
      <c r="D200" s="64"/>
      <c r="E200" s="58"/>
      <c r="F200" s="58"/>
      <c r="G200" s="58"/>
      <c r="H200" s="58"/>
      <c r="I200" s="58"/>
      <c r="J200" s="58"/>
      <c r="K200" s="58"/>
      <c r="L200" s="48"/>
    </row>
    <row r="201" spans="2:12">
      <c r="B201" s="49" t="s">
        <v>5161</v>
      </c>
      <c r="C201" s="41" t="s">
        <v>3525</v>
      </c>
      <c r="D201" s="64"/>
      <c r="E201" s="58"/>
      <c r="F201" s="58"/>
      <c r="G201" s="58"/>
      <c r="H201" s="58"/>
      <c r="I201" s="58"/>
      <c r="J201" s="58"/>
      <c r="K201" s="58"/>
      <c r="L201" s="48"/>
    </row>
    <row r="202" spans="2:12">
      <c r="B202" s="49" t="s">
        <v>5162</v>
      </c>
      <c r="C202" s="41" t="s">
        <v>4953</v>
      </c>
      <c r="D202" s="64"/>
      <c r="E202" s="58"/>
      <c r="F202" s="58"/>
      <c r="G202" s="58"/>
      <c r="H202" s="58"/>
      <c r="I202" s="58"/>
      <c r="J202" s="58"/>
      <c r="K202" s="58"/>
      <c r="L202" s="48"/>
    </row>
    <row r="203" spans="2:12">
      <c r="B203" s="49" t="s">
        <v>5163</v>
      </c>
      <c r="C203" s="41" t="s">
        <v>4955</v>
      </c>
      <c r="D203" s="64"/>
      <c r="E203" s="58"/>
      <c r="F203" s="58"/>
      <c r="G203" s="58"/>
      <c r="H203" s="58"/>
      <c r="I203" s="58"/>
      <c r="J203" s="58"/>
      <c r="K203" s="58"/>
      <c r="L203" s="48"/>
    </row>
    <row r="204" spans="2:12">
      <c r="B204" s="49" t="s">
        <v>5164</v>
      </c>
      <c r="C204" s="41" t="s">
        <v>5226</v>
      </c>
      <c r="D204" s="64"/>
      <c r="E204" s="58"/>
      <c r="F204" s="58"/>
      <c r="G204" s="58"/>
      <c r="H204" s="58"/>
      <c r="I204" s="58"/>
      <c r="J204" s="58"/>
      <c r="K204" s="58"/>
      <c r="L204" s="48"/>
    </row>
    <row r="205" spans="2:12">
      <c r="B205" s="49" t="s">
        <v>5165</v>
      </c>
      <c r="C205" s="41" t="s">
        <v>5227</v>
      </c>
      <c r="D205" s="64"/>
      <c r="E205" s="58"/>
      <c r="F205" s="58"/>
      <c r="G205" s="58"/>
      <c r="H205" s="58"/>
      <c r="I205" s="58"/>
      <c r="J205" s="58"/>
      <c r="K205" s="58"/>
      <c r="L205" s="48"/>
    </row>
    <row r="206" spans="2:12">
      <c r="B206" s="49" t="s">
        <v>5166</v>
      </c>
      <c r="C206" s="41" t="s">
        <v>5228</v>
      </c>
      <c r="D206" s="64"/>
      <c r="E206" s="58"/>
      <c r="F206" s="58"/>
      <c r="G206" s="58"/>
      <c r="H206" s="58"/>
      <c r="I206" s="58"/>
      <c r="J206" s="58"/>
      <c r="K206" s="58"/>
      <c r="L206" s="48"/>
    </row>
    <row r="207" spans="2:12">
      <c r="B207" s="49" t="s">
        <v>5167</v>
      </c>
      <c r="C207" s="41" t="s">
        <v>5229</v>
      </c>
      <c r="D207" s="64"/>
      <c r="E207" s="58"/>
      <c r="F207" s="58"/>
      <c r="G207" s="58"/>
      <c r="H207" s="58"/>
      <c r="I207" s="56"/>
      <c r="J207" s="56"/>
      <c r="K207" s="56"/>
      <c r="L207" s="46"/>
    </row>
    <row r="208" spans="2:12">
      <c r="B208" s="49" t="s">
        <v>5230</v>
      </c>
      <c r="C208" s="41" t="s">
        <v>5231</v>
      </c>
      <c r="D208" s="65"/>
      <c r="E208" s="58"/>
      <c r="F208" s="58"/>
      <c r="G208" s="58"/>
      <c r="H208" s="48"/>
      <c r="I208" s="60"/>
      <c r="J208" s="60"/>
      <c r="K208" s="60"/>
      <c r="L208" s="60"/>
    </row>
    <row r="209" spans="2:27">
      <c r="B209" s="49" t="s">
        <v>5232</v>
      </c>
      <c r="C209" s="44" t="s">
        <v>3526</v>
      </c>
      <c r="D209" s="58"/>
      <c r="E209" s="58"/>
      <c r="F209" s="58"/>
      <c r="G209" s="58"/>
      <c r="H209" s="48"/>
      <c r="I209" s="60"/>
      <c r="J209" s="63"/>
      <c r="K209" s="63"/>
      <c r="L209" s="60"/>
    </row>
    <row r="210" spans="2:27">
      <c r="B210" s="49" t="s">
        <v>5170</v>
      </c>
      <c r="C210" s="44" t="s">
        <v>3527</v>
      </c>
      <c r="D210" s="58"/>
      <c r="E210" s="58"/>
      <c r="F210" s="58"/>
      <c r="G210" s="58"/>
      <c r="H210" s="48"/>
      <c r="I210" s="64"/>
      <c r="J210" s="58"/>
      <c r="K210" s="48"/>
      <c r="L210" s="60"/>
    </row>
    <row r="211" spans="2:27">
      <c r="B211" s="49" t="s">
        <v>5233</v>
      </c>
      <c r="C211" s="44" t="s">
        <v>3528</v>
      </c>
      <c r="D211" s="56"/>
      <c r="E211" s="56"/>
      <c r="F211" s="56"/>
      <c r="G211" s="56"/>
      <c r="H211" s="46"/>
      <c r="I211" s="64"/>
      <c r="J211" s="56"/>
      <c r="K211" s="46"/>
      <c r="L211" s="60"/>
    </row>
    <row r="213" spans="2:27">
      <c r="Z213" s="13" t="str">
        <f>Show!$B$156&amp;Show!$B$156&amp;"S.27.01.01.04 Rows {"&amp;COLUMN($C$1)&amp;"}"</f>
        <v>!!S.27.01.01.04 Rows {3}</v>
      </c>
      <c r="AA213" s="13" t="str">
        <f>Show!$B$156&amp;Show!$B$156&amp;"S.27.01.01.04 Columns {"&amp;COLUMN($L$1)&amp;"}"</f>
        <v>!!S.27.01.01.04 Columns {12}</v>
      </c>
    </row>
    <row r="215" spans="2:27" ht="18.75">
      <c r="B215" s="88" t="s">
        <v>5234</v>
      </c>
      <c r="C215" s="87"/>
      <c r="D215" s="87"/>
      <c r="E215" s="87"/>
      <c r="F215" s="87"/>
      <c r="G215" s="87"/>
      <c r="H215" s="87"/>
      <c r="I215" s="87"/>
      <c r="J215" s="87"/>
      <c r="K215" s="87"/>
      <c r="L215" s="87"/>
    </row>
    <row r="219" spans="2:27">
      <c r="D219" s="92" t="s">
        <v>2877</v>
      </c>
      <c r="E219" s="93"/>
      <c r="F219" s="93"/>
      <c r="G219" s="93"/>
      <c r="H219" s="93"/>
      <c r="I219" s="93"/>
      <c r="J219" s="93"/>
      <c r="K219" s="93"/>
      <c r="L219" s="94"/>
    </row>
    <row r="220" spans="2:27">
      <c r="D220" s="95"/>
      <c r="E220" s="96"/>
      <c r="F220" s="96"/>
      <c r="G220" s="96"/>
      <c r="H220" s="96"/>
      <c r="I220" s="96"/>
      <c r="J220" s="96"/>
      <c r="K220" s="96"/>
      <c r="L220" s="97"/>
    </row>
    <row r="221" spans="2:27">
      <c r="D221" s="89" t="s">
        <v>5114</v>
      </c>
      <c r="E221" s="89" t="s">
        <v>5115</v>
      </c>
      <c r="F221" s="89" t="s">
        <v>5116</v>
      </c>
      <c r="G221" s="89" t="s">
        <v>5117</v>
      </c>
      <c r="H221" s="89" t="s">
        <v>5118</v>
      </c>
      <c r="I221" s="89" t="s">
        <v>5119</v>
      </c>
      <c r="J221" s="89" t="s">
        <v>5120</v>
      </c>
      <c r="K221" s="89" t="s">
        <v>5121</v>
      </c>
      <c r="L221" s="89" t="s">
        <v>5122</v>
      </c>
    </row>
    <row r="222" spans="2:27">
      <c r="D222" s="91"/>
      <c r="E222" s="91"/>
      <c r="F222" s="91"/>
      <c r="G222" s="91"/>
      <c r="H222" s="91"/>
      <c r="I222" s="91"/>
      <c r="J222" s="91"/>
      <c r="K222" s="91"/>
      <c r="L222" s="91"/>
    </row>
    <row r="223" spans="2:27">
      <c r="D223" s="45" t="s">
        <v>3519</v>
      </c>
      <c r="E223" s="45" t="s">
        <v>3612</v>
      </c>
      <c r="F223" s="45" t="s">
        <v>3614</v>
      </c>
      <c r="G223" s="45" t="s">
        <v>3616</v>
      </c>
      <c r="H223" s="45" t="s">
        <v>3618</v>
      </c>
      <c r="I223" s="45" t="s">
        <v>3620</v>
      </c>
      <c r="J223" s="45" t="s">
        <v>3622</v>
      </c>
      <c r="K223" s="45" t="s">
        <v>3624</v>
      </c>
      <c r="L223" s="45" t="s">
        <v>3626</v>
      </c>
      <c r="Z223" s="13" t="str">
        <f>Show!$B$156&amp;"S.27.01.01.05 Rows {"&amp;COLUMN($C$1)&amp;"}"&amp;"@ForceFilingCode:true"</f>
        <v>!S.27.01.01.05 Rows {3}@ForceFilingCode:true</v>
      </c>
      <c r="AA223" s="13" t="str">
        <f>Show!$B$156&amp;"S.27.01.01.05 Columns {"&amp;COLUMN($D$1)&amp;"}"</f>
        <v>!S.27.01.01.05 Columns {4}</v>
      </c>
    </row>
    <row r="224" spans="2:27">
      <c r="B224" s="43" t="s">
        <v>2880</v>
      </c>
      <c r="C224" s="44" t="s">
        <v>2878</v>
      </c>
      <c r="D224" s="58"/>
      <c r="E224" s="67"/>
      <c r="F224" s="67"/>
      <c r="G224" s="67"/>
      <c r="H224" s="67"/>
      <c r="I224" s="67"/>
      <c r="J224" s="67"/>
      <c r="K224" s="67"/>
      <c r="L224" s="59"/>
    </row>
    <row r="225" spans="2:12">
      <c r="B225" s="47" t="s">
        <v>5235</v>
      </c>
      <c r="C225" s="44" t="s">
        <v>2878</v>
      </c>
      <c r="D225" s="58"/>
      <c r="E225" s="66"/>
      <c r="F225" s="66"/>
      <c r="G225" s="66"/>
      <c r="H225" s="66"/>
      <c r="I225" s="66"/>
      <c r="J225" s="66"/>
      <c r="K225" s="66"/>
      <c r="L225" s="57"/>
    </row>
    <row r="226" spans="2:12">
      <c r="B226" s="49" t="s">
        <v>5124</v>
      </c>
      <c r="C226" s="44" t="s">
        <v>5236</v>
      </c>
      <c r="D226" s="48"/>
      <c r="E226" s="60"/>
      <c r="F226" s="60"/>
      <c r="G226" s="70"/>
      <c r="H226" s="51"/>
      <c r="I226" s="60"/>
      <c r="J226" s="60"/>
      <c r="K226" s="60"/>
      <c r="L226" s="60"/>
    </row>
    <row r="227" spans="2:12">
      <c r="B227" s="49" t="s">
        <v>5125</v>
      </c>
      <c r="C227" s="44" t="s">
        <v>5237</v>
      </c>
      <c r="D227" s="48"/>
      <c r="E227" s="60"/>
      <c r="F227" s="60"/>
      <c r="G227" s="70"/>
      <c r="H227" s="51"/>
      <c r="I227" s="60"/>
      <c r="J227" s="60"/>
      <c r="K227" s="60"/>
      <c r="L227" s="60"/>
    </row>
    <row r="228" spans="2:12">
      <c r="B228" s="49" t="s">
        <v>5126</v>
      </c>
      <c r="C228" s="44" t="s">
        <v>5238</v>
      </c>
      <c r="D228" s="48"/>
      <c r="E228" s="60"/>
      <c r="F228" s="60"/>
      <c r="G228" s="70"/>
      <c r="H228" s="51"/>
      <c r="I228" s="60"/>
      <c r="J228" s="60"/>
      <c r="K228" s="60"/>
      <c r="L228" s="60"/>
    </row>
    <row r="229" spans="2:12">
      <c r="B229" s="49" t="s">
        <v>5127</v>
      </c>
      <c r="C229" s="44" t="s">
        <v>5239</v>
      </c>
      <c r="D229" s="48"/>
      <c r="E229" s="60"/>
      <c r="F229" s="60"/>
      <c r="G229" s="70"/>
      <c r="H229" s="51"/>
      <c r="I229" s="60"/>
      <c r="J229" s="60"/>
      <c r="K229" s="60"/>
      <c r="L229" s="60"/>
    </row>
    <row r="230" spans="2:12" ht="30">
      <c r="B230" s="49" t="s">
        <v>5131</v>
      </c>
      <c r="C230" s="44" t="s">
        <v>5240</v>
      </c>
      <c r="D230" s="48"/>
      <c r="E230" s="60"/>
      <c r="F230" s="60"/>
      <c r="G230" s="70"/>
      <c r="H230" s="51"/>
      <c r="I230" s="60"/>
      <c r="J230" s="60"/>
      <c r="K230" s="60"/>
      <c r="L230" s="60"/>
    </row>
    <row r="231" spans="2:12">
      <c r="B231" s="49" t="s">
        <v>5132</v>
      </c>
      <c r="C231" s="44" t="s">
        <v>5241</v>
      </c>
      <c r="D231" s="48"/>
      <c r="E231" s="60"/>
      <c r="F231" s="60"/>
      <c r="G231" s="70"/>
      <c r="H231" s="51"/>
      <c r="I231" s="60"/>
      <c r="J231" s="60"/>
      <c r="K231" s="60"/>
      <c r="L231" s="60"/>
    </row>
    <row r="232" spans="2:12">
      <c r="B232" s="49" t="s">
        <v>5178</v>
      </c>
      <c r="C232" s="44" t="s">
        <v>5242</v>
      </c>
      <c r="D232" s="48"/>
      <c r="E232" s="60"/>
      <c r="F232" s="60"/>
      <c r="G232" s="70"/>
      <c r="H232" s="51"/>
      <c r="I232" s="60"/>
      <c r="J232" s="60"/>
      <c r="K232" s="60"/>
      <c r="L232" s="60"/>
    </row>
    <row r="233" spans="2:12">
      <c r="B233" s="49" t="s">
        <v>5136</v>
      </c>
      <c r="C233" s="44" t="s">
        <v>5243</v>
      </c>
      <c r="D233" s="48"/>
      <c r="E233" s="60"/>
      <c r="F233" s="60"/>
      <c r="G233" s="70"/>
      <c r="H233" s="51"/>
      <c r="I233" s="60"/>
      <c r="J233" s="60"/>
      <c r="K233" s="60"/>
      <c r="L233" s="60"/>
    </row>
    <row r="234" spans="2:12">
      <c r="B234" s="49" t="s">
        <v>5137</v>
      </c>
      <c r="C234" s="44" t="s">
        <v>3529</v>
      </c>
      <c r="D234" s="48"/>
      <c r="E234" s="60"/>
      <c r="F234" s="60"/>
      <c r="G234" s="70"/>
      <c r="H234" s="51"/>
      <c r="I234" s="60"/>
      <c r="J234" s="60"/>
      <c r="K234" s="60"/>
      <c r="L234" s="60"/>
    </row>
    <row r="235" spans="2:12">
      <c r="B235" s="49" t="s">
        <v>5129</v>
      </c>
      <c r="C235" s="44" t="s">
        <v>5244</v>
      </c>
      <c r="D235" s="48"/>
      <c r="E235" s="60"/>
      <c r="F235" s="60"/>
      <c r="G235" s="70"/>
      <c r="H235" s="51"/>
      <c r="I235" s="60"/>
      <c r="J235" s="60"/>
      <c r="K235" s="60"/>
      <c r="L235" s="60"/>
    </row>
    <row r="236" spans="2:12">
      <c r="B236" s="49" t="s">
        <v>5142</v>
      </c>
      <c r="C236" s="44" t="s">
        <v>3530</v>
      </c>
      <c r="D236" s="48"/>
      <c r="E236" s="60"/>
      <c r="F236" s="60"/>
      <c r="G236" s="70"/>
      <c r="H236" s="68"/>
      <c r="I236" s="60"/>
      <c r="J236" s="60"/>
      <c r="K236" s="60"/>
      <c r="L236" s="60"/>
    </row>
    <row r="237" spans="2:12">
      <c r="B237" s="49" t="s">
        <v>5245</v>
      </c>
      <c r="C237" s="44" t="s">
        <v>3531</v>
      </c>
      <c r="D237" s="46"/>
      <c r="E237" s="63"/>
      <c r="F237" s="63"/>
      <c r="G237" s="78"/>
      <c r="H237" s="48"/>
      <c r="I237" s="63"/>
      <c r="J237" s="63"/>
      <c r="K237" s="63"/>
      <c r="L237" s="63"/>
    </row>
    <row r="238" spans="2:12">
      <c r="B238" s="49" t="s">
        <v>5150</v>
      </c>
      <c r="C238" s="41" t="s">
        <v>5246</v>
      </c>
      <c r="D238" s="64"/>
      <c r="E238" s="58"/>
      <c r="F238" s="58"/>
      <c r="G238" s="58"/>
      <c r="H238" s="58"/>
      <c r="I238" s="58"/>
      <c r="J238" s="58"/>
      <c r="K238" s="58"/>
      <c r="L238" s="48"/>
    </row>
    <row r="239" spans="2:12">
      <c r="B239" s="49" t="s">
        <v>5151</v>
      </c>
      <c r="C239" s="41" t="s">
        <v>5247</v>
      </c>
      <c r="D239" s="64"/>
      <c r="E239" s="58"/>
      <c r="F239" s="58"/>
      <c r="G239" s="58"/>
      <c r="H239" s="58"/>
      <c r="I239" s="58"/>
      <c r="J239" s="58"/>
      <c r="K239" s="58"/>
      <c r="L239" s="48"/>
    </row>
    <row r="240" spans="2:12">
      <c r="B240" s="49" t="s">
        <v>5152</v>
      </c>
      <c r="C240" s="41" t="s">
        <v>5248</v>
      </c>
      <c r="D240" s="64"/>
      <c r="E240" s="58"/>
      <c r="F240" s="58"/>
      <c r="G240" s="58"/>
      <c r="H240" s="58"/>
      <c r="I240" s="58"/>
      <c r="J240" s="58"/>
      <c r="K240" s="58"/>
      <c r="L240" s="48"/>
    </row>
    <row r="241" spans="2:12">
      <c r="B241" s="49" t="s">
        <v>5153</v>
      </c>
      <c r="C241" s="41" t="s">
        <v>5249</v>
      </c>
      <c r="D241" s="64"/>
      <c r="E241" s="58"/>
      <c r="F241" s="58"/>
      <c r="G241" s="58"/>
      <c r="H241" s="58"/>
      <c r="I241" s="58"/>
      <c r="J241" s="58"/>
      <c r="K241" s="58"/>
      <c r="L241" s="48"/>
    </row>
    <row r="242" spans="2:12">
      <c r="B242" s="49" t="s">
        <v>5154</v>
      </c>
      <c r="C242" s="41" t="s">
        <v>5250</v>
      </c>
      <c r="D242" s="64"/>
      <c r="E242" s="58"/>
      <c r="F242" s="58"/>
      <c r="G242" s="58"/>
      <c r="H242" s="58"/>
      <c r="I242" s="58"/>
      <c r="J242" s="58"/>
      <c r="K242" s="58"/>
      <c r="L242" s="48"/>
    </row>
    <row r="243" spans="2:12">
      <c r="B243" s="49" t="s">
        <v>5155</v>
      </c>
      <c r="C243" s="41" t="s">
        <v>5251</v>
      </c>
      <c r="D243" s="64"/>
      <c r="E243" s="58"/>
      <c r="F243" s="58"/>
      <c r="G243" s="58"/>
      <c r="H243" s="58"/>
      <c r="I243" s="58"/>
      <c r="J243" s="58"/>
      <c r="K243" s="58"/>
      <c r="L243" s="48"/>
    </row>
    <row r="244" spans="2:12">
      <c r="B244" s="49" t="s">
        <v>5156</v>
      </c>
      <c r="C244" s="41" t="s">
        <v>5252</v>
      </c>
      <c r="D244" s="64"/>
      <c r="E244" s="58"/>
      <c r="F244" s="58"/>
      <c r="G244" s="58"/>
      <c r="H244" s="58"/>
      <c r="I244" s="58"/>
      <c r="J244" s="58"/>
      <c r="K244" s="58"/>
      <c r="L244" s="48"/>
    </row>
    <row r="245" spans="2:12">
      <c r="B245" s="49" t="s">
        <v>5157</v>
      </c>
      <c r="C245" s="41" t="s">
        <v>3532</v>
      </c>
      <c r="D245" s="64"/>
      <c r="E245" s="58"/>
      <c r="F245" s="58"/>
      <c r="G245" s="58"/>
      <c r="H245" s="58"/>
      <c r="I245" s="58"/>
      <c r="J245" s="58"/>
      <c r="K245" s="58"/>
      <c r="L245" s="48"/>
    </row>
    <row r="246" spans="2:12">
      <c r="B246" s="49" t="s">
        <v>5158</v>
      </c>
      <c r="C246" s="41" t="s">
        <v>5253</v>
      </c>
      <c r="D246" s="64"/>
      <c r="E246" s="58"/>
      <c r="F246" s="58"/>
      <c r="G246" s="58"/>
      <c r="H246" s="58"/>
      <c r="I246" s="58"/>
      <c r="J246" s="58"/>
      <c r="K246" s="58"/>
      <c r="L246" s="48"/>
    </row>
    <row r="247" spans="2:12">
      <c r="B247" s="49" t="s">
        <v>5159</v>
      </c>
      <c r="C247" s="41" t="s">
        <v>5254</v>
      </c>
      <c r="D247" s="64"/>
      <c r="E247" s="58"/>
      <c r="F247" s="58"/>
      <c r="G247" s="58"/>
      <c r="H247" s="58"/>
      <c r="I247" s="58"/>
      <c r="J247" s="58"/>
      <c r="K247" s="58"/>
      <c r="L247" s="48"/>
    </row>
    <row r="248" spans="2:12">
      <c r="B248" s="49" t="s">
        <v>5160</v>
      </c>
      <c r="C248" s="41" t="s">
        <v>5255</v>
      </c>
      <c r="D248" s="64"/>
      <c r="E248" s="58"/>
      <c r="F248" s="58"/>
      <c r="G248" s="58"/>
      <c r="H248" s="58"/>
      <c r="I248" s="58"/>
      <c r="J248" s="58"/>
      <c r="K248" s="58"/>
      <c r="L248" s="48"/>
    </row>
    <row r="249" spans="2:12">
      <c r="B249" s="49" t="s">
        <v>5161</v>
      </c>
      <c r="C249" s="41" t="s">
        <v>5256</v>
      </c>
      <c r="D249" s="64"/>
      <c r="E249" s="58"/>
      <c r="F249" s="58"/>
      <c r="G249" s="58"/>
      <c r="H249" s="58"/>
      <c r="I249" s="58"/>
      <c r="J249" s="58"/>
      <c r="K249" s="58"/>
      <c r="L249" s="48"/>
    </row>
    <row r="250" spans="2:12">
      <c r="B250" s="49" t="s">
        <v>5162</v>
      </c>
      <c r="C250" s="41" t="s">
        <v>5257</v>
      </c>
      <c r="D250" s="64"/>
      <c r="E250" s="58"/>
      <c r="F250" s="58"/>
      <c r="G250" s="58"/>
      <c r="H250" s="58"/>
      <c r="I250" s="58"/>
      <c r="J250" s="58"/>
      <c r="K250" s="58"/>
      <c r="L250" s="48"/>
    </row>
    <row r="251" spans="2:12">
      <c r="B251" s="49" t="s">
        <v>5163</v>
      </c>
      <c r="C251" s="41" t="s">
        <v>5258</v>
      </c>
      <c r="D251" s="64"/>
      <c r="E251" s="58"/>
      <c r="F251" s="58"/>
      <c r="G251" s="58"/>
      <c r="H251" s="58"/>
      <c r="I251" s="58"/>
      <c r="J251" s="58"/>
      <c r="K251" s="58"/>
      <c r="L251" s="48"/>
    </row>
    <row r="252" spans="2:12">
      <c r="B252" s="49" t="s">
        <v>5164</v>
      </c>
      <c r="C252" s="41" t="s">
        <v>5259</v>
      </c>
      <c r="D252" s="64"/>
      <c r="E252" s="58"/>
      <c r="F252" s="58"/>
      <c r="G252" s="58"/>
      <c r="H252" s="58"/>
      <c r="I252" s="58"/>
      <c r="J252" s="58"/>
      <c r="K252" s="58"/>
      <c r="L252" s="48"/>
    </row>
    <row r="253" spans="2:12">
      <c r="B253" s="49" t="s">
        <v>5165</v>
      </c>
      <c r="C253" s="41" t="s">
        <v>5260</v>
      </c>
      <c r="D253" s="64"/>
      <c r="E253" s="58"/>
      <c r="F253" s="58"/>
      <c r="G253" s="58"/>
      <c r="H253" s="58"/>
      <c r="I253" s="58"/>
      <c r="J253" s="58"/>
      <c r="K253" s="58"/>
      <c r="L253" s="48"/>
    </row>
    <row r="254" spans="2:12">
      <c r="B254" s="49" t="s">
        <v>5166</v>
      </c>
      <c r="C254" s="41" t="s">
        <v>5261</v>
      </c>
      <c r="D254" s="64"/>
      <c r="E254" s="58"/>
      <c r="F254" s="58"/>
      <c r="G254" s="58"/>
      <c r="H254" s="58"/>
      <c r="I254" s="58"/>
      <c r="J254" s="58"/>
      <c r="K254" s="58"/>
      <c r="L254" s="48"/>
    </row>
    <row r="255" spans="2:12">
      <c r="B255" s="49" t="s">
        <v>5167</v>
      </c>
      <c r="C255" s="41" t="s">
        <v>3533</v>
      </c>
      <c r="D255" s="64"/>
      <c r="E255" s="58"/>
      <c r="F255" s="58"/>
      <c r="G255" s="58"/>
      <c r="H255" s="58"/>
      <c r="I255" s="56"/>
      <c r="J255" s="56"/>
      <c r="K255" s="56"/>
      <c r="L255" s="46"/>
    </row>
    <row r="256" spans="2:12">
      <c r="B256" s="49" t="s">
        <v>5262</v>
      </c>
      <c r="C256" s="41" t="s">
        <v>3534</v>
      </c>
      <c r="D256" s="65"/>
      <c r="E256" s="58"/>
      <c r="F256" s="58"/>
      <c r="G256" s="58"/>
      <c r="H256" s="48"/>
      <c r="I256" s="60"/>
      <c r="J256" s="60"/>
      <c r="K256" s="60"/>
      <c r="L256" s="60"/>
    </row>
    <row r="257" spans="2:27">
      <c r="B257" s="49" t="s">
        <v>5263</v>
      </c>
      <c r="C257" s="44" t="s">
        <v>3535</v>
      </c>
      <c r="D257" s="58"/>
      <c r="E257" s="58"/>
      <c r="F257" s="58"/>
      <c r="G257" s="58"/>
      <c r="H257" s="48"/>
      <c r="I257" s="60"/>
      <c r="J257" s="63"/>
      <c r="K257" s="63"/>
      <c r="L257" s="60"/>
    </row>
    <row r="258" spans="2:27">
      <c r="B258" s="49" t="s">
        <v>5170</v>
      </c>
      <c r="C258" s="44" t="s">
        <v>5264</v>
      </c>
      <c r="D258" s="58"/>
      <c r="E258" s="58"/>
      <c r="F258" s="58"/>
      <c r="G258" s="58"/>
      <c r="H258" s="48"/>
      <c r="I258" s="64"/>
      <c r="J258" s="58"/>
      <c r="K258" s="48"/>
      <c r="L258" s="60"/>
    </row>
    <row r="259" spans="2:27">
      <c r="B259" s="49" t="s">
        <v>5265</v>
      </c>
      <c r="C259" s="44" t="s">
        <v>5266</v>
      </c>
      <c r="D259" s="56"/>
      <c r="E259" s="56"/>
      <c r="F259" s="56"/>
      <c r="G259" s="56"/>
      <c r="H259" s="46"/>
      <c r="I259" s="64"/>
      <c r="J259" s="56"/>
      <c r="K259" s="46"/>
      <c r="L259" s="60"/>
    </row>
    <row r="261" spans="2:27">
      <c r="Z261" s="13" t="str">
        <f>Show!$B$156&amp;Show!$B$156&amp;"S.27.01.01.05 Rows {"&amp;COLUMN($C$1)&amp;"}"</f>
        <v>!!S.27.01.01.05 Rows {3}</v>
      </c>
      <c r="AA261" s="13" t="str">
        <f>Show!$B$156&amp;Show!$B$156&amp;"S.27.01.01.05 Columns {"&amp;COLUMN($L$1)&amp;"}"</f>
        <v>!!S.27.01.01.05 Columns {12}</v>
      </c>
    </row>
    <row r="263" spans="2:27" ht="18.75">
      <c r="B263" s="88" t="s">
        <v>5267</v>
      </c>
      <c r="C263" s="87"/>
      <c r="D263" s="87"/>
      <c r="E263" s="87"/>
      <c r="F263" s="87"/>
      <c r="G263" s="87"/>
      <c r="H263" s="87"/>
      <c r="I263" s="87"/>
      <c r="J263" s="87"/>
      <c r="K263" s="87"/>
      <c r="L263" s="87"/>
    </row>
    <row r="267" spans="2:27">
      <c r="D267" s="92" t="s">
        <v>2877</v>
      </c>
      <c r="E267" s="93"/>
      <c r="F267" s="93"/>
      <c r="G267" s="93"/>
      <c r="H267" s="93"/>
      <c r="I267" s="93"/>
      <c r="J267" s="93"/>
      <c r="K267" s="94"/>
    </row>
    <row r="268" spans="2:27">
      <c r="D268" s="95"/>
      <c r="E268" s="96"/>
      <c r="F268" s="96"/>
      <c r="G268" s="96"/>
      <c r="H268" s="96"/>
      <c r="I268" s="96"/>
      <c r="J268" s="96"/>
      <c r="K268" s="97"/>
    </row>
    <row r="269" spans="2:27">
      <c r="D269" s="89" t="s">
        <v>5114</v>
      </c>
      <c r="E269" s="89" t="s">
        <v>5115</v>
      </c>
      <c r="F269" s="89" t="s">
        <v>5116</v>
      </c>
      <c r="G269" s="89" t="s">
        <v>5117</v>
      </c>
      <c r="H269" s="89" t="s">
        <v>5119</v>
      </c>
      <c r="I269" s="89" t="s">
        <v>5120</v>
      </c>
      <c r="J269" s="89" t="s">
        <v>5121</v>
      </c>
      <c r="K269" s="89" t="s">
        <v>5122</v>
      </c>
    </row>
    <row r="270" spans="2:27">
      <c r="D270" s="91"/>
      <c r="E270" s="91"/>
      <c r="F270" s="91"/>
      <c r="G270" s="91"/>
      <c r="H270" s="91"/>
      <c r="I270" s="91"/>
      <c r="J270" s="91"/>
      <c r="K270" s="91"/>
    </row>
    <row r="271" spans="2:27">
      <c r="D271" s="45" t="s">
        <v>3628</v>
      </c>
      <c r="E271" s="45" t="s">
        <v>3634</v>
      </c>
      <c r="F271" s="45" t="s">
        <v>3636</v>
      </c>
      <c r="G271" s="45" t="s">
        <v>3701</v>
      </c>
      <c r="H271" s="45" t="s">
        <v>3702</v>
      </c>
      <c r="I271" s="45" t="s">
        <v>3675</v>
      </c>
      <c r="J271" s="45" t="s">
        <v>3955</v>
      </c>
      <c r="K271" s="45" t="s">
        <v>3956</v>
      </c>
      <c r="Z271" s="13" t="str">
        <f>Show!$B$156&amp;"S.27.01.01.06 Rows {"&amp;COLUMN($C$1)&amp;"}"&amp;"@ForceFilingCode:true"</f>
        <v>!S.27.01.01.06 Rows {3}@ForceFilingCode:true</v>
      </c>
      <c r="AA271" s="13" t="str">
        <f>Show!$B$156&amp;"S.27.01.01.06 Columns {"&amp;COLUMN($D$1)&amp;"}"</f>
        <v>!S.27.01.01.06 Columns {4}</v>
      </c>
    </row>
    <row r="272" spans="2:27">
      <c r="B272" s="43" t="s">
        <v>2880</v>
      </c>
      <c r="C272" s="44" t="s">
        <v>2878</v>
      </c>
      <c r="D272" s="58"/>
      <c r="E272" s="67"/>
      <c r="F272" s="67"/>
      <c r="G272" s="67"/>
      <c r="H272" s="67"/>
      <c r="I272" s="67"/>
      <c r="J272" s="67"/>
      <c r="K272" s="59"/>
    </row>
    <row r="273" spans="2:27">
      <c r="B273" s="47" t="s">
        <v>5268</v>
      </c>
      <c r="C273" s="44" t="s">
        <v>2878</v>
      </c>
      <c r="D273" s="56"/>
      <c r="E273" s="66"/>
      <c r="F273" s="66"/>
      <c r="G273" s="66"/>
      <c r="H273" s="66"/>
      <c r="I273" s="66"/>
      <c r="J273" s="66"/>
      <c r="K273" s="57"/>
    </row>
    <row r="274" spans="2:27">
      <c r="B274" s="49" t="s">
        <v>5269</v>
      </c>
      <c r="C274" s="41" t="s">
        <v>5270</v>
      </c>
      <c r="D274" s="63"/>
      <c r="E274" s="63"/>
      <c r="F274" s="63"/>
      <c r="G274" s="76"/>
      <c r="H274" s="60"/>
      <c r="I274" s="63"/>
      <c r="J274" s="63"/>
      <c r="K274" s="60"/>
    </row>
    <row r="275" spans="2:27">
      <c r="B275" s="49" t="s">
        <v>5271</v>
      </c>
      <c r="C275" s="44" t="s">
        <v>5272</v>
      </c>
      <c r="D275" s="58"/>
      <c r="E275" s="58"/>
      <c r="F275" s="58"/>
      <c r="G275" s="48"/>
      <c r="H275" s="64"/>
      <c r="I275" s="58"/>
      <c r="J275" s="48"/>
      <c r="K275" s="60"/>
    </row>
    <row r="276" spans="2:27">
      <c r="B276" s="49" t="s">
        <v>5273</v>
      </c>
      <c r="C276" s="44" t="s">
        <v>5274</v>
      </c>
      <c r="D276" s="56"/>
      <c r="E276" s="56"/>
      <c r="F276" s="56"/>
      <c r="G276" s="46"/>
      <c r="H276" s="64"/>
      <c r="I276" s="56"/>
      <c r="J276" s="46"/>
      <c r="K276" s="60"/>
    </row>
    <row r="278" spans="2:27">
      <c r="Z278" s="13" t="str">
        <f>Show!$B$156&amp;Show!$B$156&amp;"S.27.01.01.06 Rows {"&amp;COLUMN($C$1)&amp;"}"</f>
        <v>!!S.27.01.01.06 Rows {3}</v>
      </c>
      <c r="AA278" s="13" t="str">
        <f>Show!$B$156&amp;Show!$B$156&amp;"S.27.01.01.06 Columns {"&amp;COLUMN($K$1)&amp;"}"</f>
        <v>!!S.27.01.01.06 Columns {11}</v>
      </c>
    </row>
    <row r="280" spans="2:27" ht="18.75">
      <c r="B280" s="88" t="s">
        <v>5275</v>
      </c>
      <c r="C280" s="87"/>
      <c r="D280" s="87"/>
      <c r="E280" s="87"/>
      <c r="F280" s="87"/>
      <c r="G280" s="87"/>
      <c r="H280" s="87"/>
      <c r="I280" s="87"/>
      <c r="J280" s="87"/>
      <c r="K280" s="87"/>
      <c r="L280" s="87"/>
    </row>
    <row r="284" spans="2:27">
      <c r="D284" s="92" t="s">
        <v>2877</v>
      </c>
      <c r="E284" s="93"/>
      <c r="F284" s="93"/>
      <c r="G284" s="93"/>
      <c r="H284" s="94"/>
    </row>
    <row r="285" spans="2:27">
      <c r="D285" s="95"/>
      <c r="E285" s="96"/>
      <c r="F285" s="96"/>
      <c r="G285" s="96"/>
      <c r="H285" s="97"/>
    </row>
    <row r="286" spans="2:27">
      <c r="D286" s="98" t="s">
        <v>5276</v>
      </c>
      <c r="E286" s="100"/>
      <c r="F286" s="100"/>
      <c r="G286" s="100"/>
      <c r="H286" s="99"/>
    </row>
    <row r="287" spans="2:27" ht="60">
      <c r="D287" s="55" t="s">
        <v>5277</v>
      </c>
      <c r="E287" s="55" t="s">
        <v>5119</v>
      </c>
      <c r="F287" s="55" t="s">
        <v>5120</v>
      </c>
      <c r="G287" s="55" t="s">
        <v>5121</v>
      </c>
      <c r="H287" s="55" t="s">
        <v>5122</v>
      </c>
    </row>
    <row r="288" spans="2:27">
      <c r="D288" s="45" t="s">
        <v>3957</v>
      </c>
      <c r="E288" s="45" t="s">
        <v>3958</v>
      </c>
      <c r="F288" s="45" t="s">
        <v>3959</v>
      </c>
      <c r="G288" s="45" t="s">
        <v>3960</v>
      </c>
      <c r="H288" s="45" t="s">
        <v>3961</v>
      </c>
      <c r="Z288" s="13" t="str">
        <f>Show!$B$156&amp;"S.27.01.01.07 Rows {"&amp;COLUMN($C$1)&amp;"}"&amp;"@ForceFilingCode:true"</f>
        <v>!S.27.01.01.07 Rows {3}@ForceFilingCode:true</v>
      </c>
      <c r="AA288" s="13" t="str">
        <f>Show!$B$156&amp;"S.27.01.01.07 Columns {"&amp;COLUMN($D$1)&amp;"}"</f>
        <v>!S.27.01.01.07 Columns {4}</v>
      </c>
    </row>
    <row r="289" spans="2:27">
      <c r="B289" s="43" t="s">
        <v>2880</v>
      </c>
      <c r="C289" s="44" t="s">
        <v>2878</v>
      </c>
      <c r="D289" s="56"/>
      <c r="E289" s="66"/>
      <c r="F289" s="66"/>
      <c r="G289" s="66"/>
      <c r="H289" s="57"/>
    </row>
    <row r="290" spans="2:27">
      <c r="B290" s="47" t="s">
        <v>3905</v>
      </c>
      <c r="C290" s="41" t="s">
        <v>3536</v>
      </c>
      <c r="D290" s="60"/>
      <c r="E290" s="60"/>
      <c r="F290" s="60"/>
      <c r="G290" s="60"/>
      <c r="H290" s="60"/>
    </row>
    <row r="292" spans="2:27">
      <c r="Z292" s="13" t="str">
        <f>Show!$B$156&amp;Show!$B$156&amp;"S.27.01.01.07 Rows {"&amp;COLUMN($C$1)&amp;"}"</f>
        <v>!!S.27.01.01.07 Rows {3}</v>
      </c>
      <c r="AA292" s="13" t="str">
        <f>Show!$B$156&amp;Show!$B$156&amp;"S.27.01.01.07 Columns {"&amp;COLUMN($H$1)&amp;"}"</f>
        <v>!!S.27.01.01.07 Columns {8}</v>
      </c>
    </row>
    <row r="294" spans="2:27" ht="18.75">
      <c r="B294" s="88" t="s">
        <v>5278</v>
      </c>
      <c r="C294" s="87"/>
      <c r="D294" s="87"/>
      <c r="E294" s="87"/>
      <c r="F294" s="87"/>
      <c r="G294" s="87"/>
      <c r="H294" s="87"/>
      <c r="I294" s="87"/>
      <c r="J294" s="87"/>
      <c r="K294" s="87"/>
      <c r="L294" s="87"/>
    </row>
    <row r="298" spans="2:27">
      <c r="D298" s="92" t="s">
        <v>2877</v>
      </c>
      <c r="E298" s="93"/>
      <c r="F298" s="93"/>
      <c r="G298" s="93"/>
      <c r="H298" s="93"/>
      <c r="I298" s="94"/>
    </row>
    <row r="299" spans="2:27">
      <c r="D299" s="95"/>
      <c r="E299" s="96"/>
      <c r="F299" s="96"/>
      <c r="G299" s="96"/>
      <c r="H299" s="96"/>
      <c r="I299" s="97"/>
    </row>
    <row r="300" spans="2:27">
      <c r="D300" s="98" t="s">
        <v>5279</v>
      </c>
      <c r="E300" s="100"/>
      <c r="F300" s="100"/>
      <c r="G300" s="100"/>
      <c r="H300" s="100"/>
      <c r="I300" s="99"/>
    </row>
    <row r="301" spans="2:27" ht="75">
      <c r="D301" s="55" t="s">
        <v>5280</v>
      </c>
      <c r="E301" s="55" t="s">
        <v>5281</v>
      </c>
      <c r="F301" s="55" t="s">
        <v>5282</v>
      </c>
      <c r="G301" s="55" t="s">
        <v>5120</v>
      </c>
      <c r="H301" s="55" t="s">
        <v>5121</v>
      </c>
      <c r="I301" s="55" t="s">
        <v>5283</v>
      </c>
    </row>
    <row r="302" spans="2:27">
      <c r="D302" s="45" t="s">
        <v>3962</v>
      </c>
      <c r="E302" s="45" t="s">
        <v>3963</v>
      </c>
      <c r="F302" s="45" t="s">
        <v>3964</v>
      </c>
      <c r="G302" s="45" t="s">
        <v>3965</v>
      </c>
      <c r="H302" s="45" t="s">
        <v>3967</v>
      </c>
      <c r="I302" s="45" t="s">
        <v>4546</v>
      </c>
      <c r="Z302" s="13" t="str">
        <f>Show!$B$156&amp;"S.27.01.01.08 Rows {"&amp;COLUMN($C$1)&amp;"}"&amp;"@ForceFilingCode:true"</f>
        <v>!S.27.01.01.08 Rows {3}@ForceFilingCode:true</v>
      </c>
      <c r="AA302" s="13" t="str">
        <f>Show!$B$156&amp;"S.27.01.01.08 Columns {"&amp;COLUMN($D$1)&amp;"}"</f>
        <v>!S.27.01.01.08 Columns {4}</v>
      </c>
    </row>
    <row r="303" spans="2:27">
      <c r="B303" s="43" t="s">
        <v>2880</v>
      </c>
      <c r="C303" s="44" t="s">
        <v>2878</v>
      </c>
      <c r="D303" s="56"/>
      <c r="E303" s="66"/>
      <c r="F303" s="66"/>
      <c r="G303" s="66"/>
      <c r="H303" s="66"/>
      <c r="I303" s="57"/>
    </row>
    <row r="304" spans="2:27">
      <c r="B304" s="47" t="s">
        <v>5284</v>
      </c>
      <c r="C304" s="41" t="s">
        <v>3539</v>
      </c>
      <c r="D304" s="50"/>
      <c r="E304" s="50"/>
      <c r="F304" s="60"/>
      <c r="G304" s="60"/>
      <c r="H304" s="60"/>
      <c r="I304" s="60"/>
    </row>
    <row r="306" spans="2:27">
      <c r="Z306" s="13" t="str">
        <f>Show!$B$156&amp;Show!$B$156&amp;"S.27.01.01.08 Rows {"&amp;COLUMN($C$1)&amp;"}"</f>
        <v>!!S.27.01.01.08 Rows {3}</v>
      </c>
      <c r="AA306" s="13" t="str">
        <f>Show!$B$156&amp;Show!$B$156&amp;"S.27.01.01.08 Columns {"&amp;COLUMN($I$1)&amp;"}"</f>
        <v>!!S.27.01.01.08 Columns {9}</v>
      </c>
    </row>
    <row r="308" spans="2:27" ht="18.75">
      <c r="B308" s="88" t="s">
        <v>5285</v>
      </c>
      <c r="C308" s="87"/>
      <c r="D308" s="87"/>
      <c r="E308" s="87"/>
      <c r="F308" s="87"/>
      <c r="G308" s="87"/>
      <c r="H308" s="87"/>
      <c r="I308" s="87"/>
      <c r="J308" s="87"/>
      <c r="K308" s="87"/>
      <c r="L308" s="87"/>
    </row>
    <row r="312" spans="2:27">
      <c r="D312" s="92" t="s">
        <v>2877</v>
      </c>
      <c r="E312" s="93"/>
      <c r="F312" s="93"/>
      <c r="G312" s="93"/>
      <c r="H312" s="93"/>
      <c r="I312" s="93"/>
      <c r="J312" s="93"/>
      <c r="K312" s="94"/>
    </row>
    <row r="313" spans="2:27">
      <c r="D313" s="95"/>
      <c r="E313" s="96"/>
      <c r="F313" s="96"/>
      <c r="G313" s="96"/>
      <c r="H313" s="96"/>
      <c r="I313" s="96"/>
      <c r="J313" s="96"/>
      <c r="K313" s="97"/>
    </row>
    <row r="314" spans="2:27" ht="105">
      <c r="D314" s="55" t="s">
        <v>5286</v>
      </c>
      <c r="E314" s="55" t="s">
        <v>5287</v>
      </c>
      <c r="F314" s="55" t="s">
        <v>5288</v>
      </c>
      <c r="G314" s="55" t="s">
        <v>5289</v>
      </c>
      <c r="H314" s="55" t="s">
        <v>5120</v>
      </c>
      <c r="I314" s="55" t="s">
        <v>5121</v>
      </c>
      <c r="J314" s="55" t="s">
        <v>5290</v>
      </c>
      <c r="K314" s="55" t="s">
        <v>5291</v>
      </c>
    </row>
    <row r="315" spans="2:27">
      <c r="D315" s="45" t="s">
        <v>4547</v>
      </c>
      <c r="E315" s="45" t="s">
        <v>4551</v>
      </c>
      <c r="F315" s="45" t="s">
        <v>3969</v>
      </c>
      <c r="G315" s="45" t="s">
        <v>3970</v>
      </c>
      <c r="H315" s="45" t="s">
        <v>3971</v>
      </c>
      <c r="I315" s="45" t="s">
        <v>3972</v>
      </c>
      <c r="J315" s="45" t="s">
        <v>3973</v>
      </c>
      <c r="K315" s="45" t="s">
        <v>3974</v>
      </c>
      <c r="Z315" s="13" t="str">
        <f>Show!$B$156&amp;"S.27.01.01.09 Rows {"&amp;COLUMN($C$1)&amp;"}"&amp;"@ForceFilingCode:true"</f>
        <v>!S.27.01.01.09 Rows {3}@ForceFilingCode:true</v>
      </c>
      <c r="AA315" s="13" t="str">
        <f>Show!$B$156&amp;"S.27.01.01.09 Columns {"&amp;COLUMN($D$1)&amp;"}"</f>
        <v>!S.27.01.01.09 Columns {4}</v>
      </c>
    </row>
    <row r="316" spans="2:27">
      <c r="B316" s="43" t="s">
        <v>2880</v>
      </c>
      <c r="C316" s="44" t="s">
        <v>2878</v>
      </c>
      <c r="D316" s="56"/>
      <c r="E316" s="66"/>
      <c r="F316" s="66"/>
      <c r="G316" s="66"/>
      <c r="H316" s="66"/>
      <c r="I316" s="66"/>
      <c r="J316" s="66"/>
      <c r="K316" s="57"/>
    </row>
    <row r="317" spans="2:27">
      <c r="B317" s="47" t="s">
        <v>5292</v>
      </c>
      <c r="C317" s="41" t="s">
        <v>3542</v>
      </c>
      <c r="D317" s="60"/>
      <c r="E317" s="60"/>
      <c r="F317" s="60"/>
      <c r="G317" s="60"/>
      <c r="H317" s="60"/>
      <c r="I317" s="60"/>
      <c r="J317" s="60"/>
      <c r="K317" s="51"/>
    </row>
    <row r="319" spans="2:27">
      <c r="Z319" s="13" t="str">
        <f>Show!$B$156&amp;Show!$B$156&amp;"S.27.01.01.09 Rows {"&amp;COLUMN($C$1)&amp;"}"</f>
        <v>!!S.27.01.01.09 Rows {3}</v>
      </c>
      <c r="AA319" s="13" t="str">
        <f>Show!$B$156&amp;Show!$B$156&amp;"S.27.01.01.09 Columns {"&amp;COLUMN($K$1)&amp;"}"</f>
        <v>!!S.27.01.01.09 Columns {11}</v>
      </c>
    </row>
    <row r="321" spans="2:27" ht="18.75">
      <c r="B321" s="88" t="s">
        <v>5293</v>
      </c>
      <c r="C321" s="87"/>
      <c r="D321" s="87"/>
      <c r="E321" s="87"/>
      <c r="F321" s="87"/>
      <c r="G321" s="87"/>
      <c r="H321" s="87"/>
      <c r="I321" s="87"/>
      <c r="J321" s="87"/>
      <c r="K321" s="87"/>
      <c r="L321" s="87"/>
    </row>
    <row r="325" spans="2:27">
      <c r="D325" s="92" t="s">
        <v>2877</v>
      </c>
      <c r="E325" s="93"/>
      <c r="F325" s="93"/>
      <c r="G325" s="93"/>
      <c r="H325" s="93"/>
      <c r="I325" s="93"/>
      <c r="J325" s="93"/>
      <c r="K325" s="93"/>
      <c r="L325" s="93"/>
      <c r="M325" s="94"/>
    </row>
    <row r="326" spans="2:27">
      <c r="D326" s="95"/>
      <c r="E326" s="96"/>
      <c r="F326" s="96"/>
      <c r="G326" s="96"/>
      <c r="H326" s="96"/>
      <c r="I326" s="96"/>
      <c r="J326" s="96"/>
      <c r="K326" s="96"/>
      <c r="L326" s="96"/>
      <c r="M326" s="97"/>
    </row>
    <row r="327" spans="2:27" ht="120">
      <c r="D327" s="55" t="s">
        <v>5294</v>
      </c>
      <c r="E327" s="55" t="s">
        <v>5295</v>
      </c>
      <c r="F327" s="55" t="s">
        <v>5296</v>
      </c>
      <c r="G327" s="55" t="s">
        <v>5297</v>
      </c>
      <c r="H327" s="55" t="s">
        <v>5298</v>
      </c>
      <c r="I327" s="55" t="s">
        <v>5299</v>
      </c>
      <c r="J327" s="55" t="s">
        <v>5120</v>
      </c>
      <c r="K327" s="55" t="s">
        <v>5121</v>
      </c>
      <c r="L327" s="55" t="s">
        <v>5300</v>
      </c>
      <c r="M327" s="55" t="s">
        <v>5301</v>
      </c>
    </row>
    <row r="328" spans="2:27">
      <c r="D328" s="45" t="s">
        <v>3975</v>
      </c>
      <c r="E328" s="45" t="s">
        <v>3976</v>
      </c>
      <c r="F328" s="45" t="s">
        <v>3977</v>
      </c>
      <c r="G328" s="45" t="s">
        <v>3978</v>
      </c>
      <c r="H328" s="45" t="s">
        <v>3979</v>
      </c>
      <c r="I328" s="45" t="s">
        <v>3980</v>
      </c>
      <c r="J328" s="45" t="s">
        <v>3981</v>
      </c>
      <c r="K328" s="45" t="s">
        <v>3982</v>
      </c>
      <c r="L328" s="45" t="s">
        <v>3983</v>
      </c>
      <c r="M328" s="45" t="s">
        <v>3984</v>
      </c>
      <c r="Z328" s="13" t="str">
        <f>Show!$B$156&amp;"S.27.01.01.10 Rows {"&amp;COLUMN($C$1)&amp;"}"&amp;"@ForceFilingCode:true"</f>
        <v>!S.27.01.01.10 Rows {3}@ForceFilingCode:true</v>
      </c>
      <c r="AA328" s="13" t="str">
        <f>Show!$B$156&amp;"S.27.01.01.10 Columns {"&amp;COLUMN($D$1)&amp;"}"</f>
        <v>!S.27.01.01.10 Columns {4}</v>
      </c>
    </row>
    <row r="329" spans="2:27">
      <c r="B329" s="43" t="s">
        <v>2880</v>
      </c>
      <c r="C329" s="44" t="s">
        <v>2878</v>
      </c>
      <c r="D329" s="56"/>
      <c r="E329" s="66"/>
      <c r="F329" s="66"/>
      <c r="G329" s="66"/>
      <c r="H329" s="66"/>
      <c r="I329" s="66"/>
      <c r="J329" s="66"/>
      <c r="K329" s="66"/>
      <c r="L329" s="66"/>
      <c r="M329" s="57"/>
    </row>
    <row r="330" spans="2:27">
      <c r="B330" s="47" t="s">
        <v>5302</v>
      </c>
      <c r="C330" s="41" t="s">
        <v>3545</v>
      </c>
      <c r="D330" s="60"/>
      <c r="E330" s="60"/>
      <c r="F330" s="60"/>
      <c r="G330" s="60"/>
      <c r="H330" s="60"/>
      <c r="I330" s="60"/>
      <c r="J330" s="60"/>
      <c r="K330" s="60"/>
      <c r="L330" s="60"/>
      <c r="M330" s="51"/>
    </row>
    <row r="332" spans="2:27">
      <c r="Z332" s="13" t="str">
        <f>Show!$B$156&amp;Show!$B$156&amp;"S.27.01.01.10 Rows {"&amp;COLUMN($C$1)&amp;"}"</f>
        <v>!!S.27.01.01.10 Rows {3}</v>
      </c>
      <c r="AA332" s="13" t="str">
        <f>Show!$B$156&amp;Show!$B$156&amp;"S.27.01.01.10 Columns {"&amp;COLUMN($M$1)&amp;"}"</f>
        <v>!!S.27.01.01.10 Columns {13}</v>
      </c>
    </row>
    <row r="334" spans="2:27" ht="18.75">
      <c r="B334" s="88" t="s">
        <v>5303</v>
      </c>
      <c r="C334" s="87"/>
      <c r="D334" s="87"/>
      <c r="E334" s="87"/>
      <c r="F334" s="87"/>
      <c r="G334" s="87"/>
      <c r="H334" s="87"/>
      <c r="I334" s="87"/>
      <c r="J334" s="87"/>
      <c r="K334" s="87"/>
      <c r="L334" s="87"/>
    </row>
    <row r="338" spans="2:27">
      <c r="D338" s="92" t="s">
        <v>2877</v>
      </c>
      <c r="E338" s="93"/>
      <c r="F338" s="94"/>
    </row>
    <row r="339" spans="2:27">
      <c r="D339" s="95"/>
      <c r="E339" s="96"/>
      <c r="F339" s="97"/>
    </row>
    <row r="340" spans="2:27">
      <c r="D340" s="98" t="s">
        <v>5304</v>
      </c>
      <c r="E340" s="100"/>
      <c r="F340" s="99"/>
    </row>
    <row r="341" spans="2:27" ht="60">
      <c r="D341" s="55" t="s">
        <v>5305</v>
      </c>
      <c r="E341" s="55" t="s">
        <v>5306</v>
      </c>
      <c r="F341" s="55" t="s">
        <v>5307</v>
      </c>
    </row>
    <row r="342" spans="2:27">
      <c r="D342" s="45" t="s">
        <v>3986</v>
      </c>
      <c r="E342" s="45" t="s">
        <v>3987</v>
      </c>
      <c r="F342" s="45" t="s">
        <v>4583</v>
      </c>
      <c r="Z342" s="13" t="str">
        <f>Show!$B$156&amp;"S.27.01.01.11 Rows {"&amp;COLUMN($C$1)&amp;"}"&amp;"@ForceFilingCode:true"</f>
        <v>!S.27.01.01.11 Rows {3}@ForceFilingCode:true</v>
      </c>
      <c r="AA342" s="13" t="str">
        <f>Show!$B$156&amp;"S.27.01.01.11 Columns {"&amp;COLUMN($D$1)&amp;"}"</f>
        <v>!S.27.01.01.11 Columns {4}</v>
      </c>
    </row>
    <row r="343" spans="2:27">
      <c r="B343" s="43" t="s">
        <v>2880</v>
      </c>
      <c r="C343" s="44" t="s">
        <v>2878</v>
      </c>
      <c r="D343" s="56"/>
      <c r="E343" s="66"/>
      <c r="F343" s="57"/>
    </row>
    <row r="344" spans="2:27">
      <c r="B344" s="47" t="s">
        <v>5308</v>
      </c>
      <c r="C344" s="41" t="s">
        <v>3548</v>
      </c>
      <c r="D344" s="60"/>
      <c r="E344" s="63"/>
      <c r="F344" s="60"/>
    </row>
    <row r="345" spans="2:27">
      <c r="B345" s="47" t="s">
        <v>5309</v>
      </c>
      <c r="C345" s="41" t="s">
        <v>5310</v>
      </c>
      <c r="D345" s="64"/>
      <c r="E345" s="46"/>
      <c r="F345" s="60"/>
    </row>
    <row r="346" spans="2:27">
      <c r="B346" s="47" t="s">
        <v>5311</v>
      </c>
      <c r="C346" s="41" t="s">
        <v>5312</v>
      </c>
      <c r="D346" s="60"/>
      <c r="E346" s="60"/>
      <c r="F346" s="60"/>
    </row>
    <row r="348" spans="2:27">
      <c r="Z348" s="13" t="str">
        <f>Show!$B$156&amp;Show!$B$156&amp;"S.27.01.01.11 Rows {"&amp;COLUMN($C$1)&amp;"}"</f>
        <v>!!S.27.01.01.11 Rows {3}</v>
      </c>
      <c r="AA348" s="13" t="str">
        <f>Show!$B$156&amp;Show!$B$156&amp;"S.27.01.01.11 Columns {"&amp;COLUMN($F$1)&amp;"}"</f>
        <v>!!S.27.01.01.11 Columns {6}</v>
      </c>
    </row>
    <row r="350" spans="2:27" ht="18.75">
      <c r="B350" s="88" t="s">
        <v>5313</v>
      </c>
      <c r="C350" s="87"/>
      <c r="D350" s="87"/>
      <c r="E350" s="87"/>
      <c r="F350" s="87"/>
      <c r="G350" s="87"/>
      <c r="H350" s="87"/>
      <c r="I350" s="87"/>
      <c r="J350" s="87"/>
      <c r="K350" s="87"/>
      <c r="L350" s="87"/>
    </row>
    <row r="354" spans="2:27">
      <c r="D354" s="92" t="s">
        <v>2877</v>
      </c>
      <c r="E354" s="93"/>
      <c r="F354" s="93"/>
      <c r="G354" s="93"/>
      <c r="H354" s="93"/>
      <c r="I354" s="94"/>
    </row>
    <row r="355" spans="2:27">
      <c r="D355" s="95"/>
      <c r="E355" s="96"/>
      <c r="F355" s="96"/>
      <c r="G355" s="96"/>
      <c r="H355" s="96"/>
      <c r="I355" s="97"/>
    </row>
    <row r="356" spans="2:27">
      <c r="D356" s="98" t="s">
        <v>5314</v>
      </c>
      <c r="E356" s="100"/>
      <c r="F356" s="100"/>
      <c r="G356" s="100"/>
      <c r="H356" s="100"/>
      <c r="I356" s="99"/>
    </row>
    <row r="357" spans="2:27" ht="60">
      <c r="D357" s="55" t="s">
        <v>5315</v>
      </c>
      <c r="E357" s="55" t="s">
        <v>5316</v>
      </c>
      <c r="F357" s="55" t="s">
        <v>5317</v>
      </c>
      <c r="G357" s="55" t="s">
        <v>5120</v>
      </c>
      <c r="H357" s="55" t="s">
        <v>5121</v>
      </c>
      <c r="I357" s="55" t="s">
        <v>5318</v>
      </c>
    </row>
    <row r="358" spans="2:27">
      <c r="D358" s="45" t="s">
        <v>4585</v>
      </c>
      <c r="E358" s="45" t="s">
        <v>3989</v>
      </c>
      <c r="F358" s="45" t="s">
        <v>3990</v>
      </c>
      <c r="G358" s="45" t="s">
        <v>3991</v>
      </c>
      <c r="H358" s="45" t="s">
        <v>3992</v>
      </c>
      <c r="I358" s="45" t="s">
        <v>3993</v>
      </c>
      <c r="Z358" s="13" t="str">
        <f>Show!$B$156&amp;"S.27.01.01.12 Rows {"&amp;COLUMN($C$1)&amp;"}"&amp;"@ForceFilingCode:true"</f>
        <v>!S.27.01.01.12 Rows {3}@ForceFilingCode:true</v>
      </c>
      <c r="AA358" s="13" t="str">
        <f>Show!$B$156&amp;"S.27.01.01.12 Columns {"&amp;COLUMN($D$1)&amp;"}"</f>
        <v>!S.27.01.01.12 Columns {4}</v>
      </c>
    </row>
    <row r="359" spans="2:27">
      <c r="B359" s="43" t="s">
        <v>2880</v>
      </c>
      <c r="C359" s="44" t="s">
        <v>2878</v>
      </c>
      <c r="D359" s="56"/>
      <c r="E359" s="66"/>
      <c r="F359" s="66"/>
      <c r="G359" s="66"/>
      <c r="H359" s="66"/>
      <c r="I359" s="57"/>
    </row>
    <row r="360" spans="2:27">
      <c r="B360" s="47" t="s">
        <v>5319</v>
      </c>
      <c r="C360" s="41" t="s">
        <v>3549</v>
      </c>
      <c r="D360" s="60"/>
      <c r="E360" s="60"/>
      <c r="F360" s="60"/>
      <c r="G360" s="60"/>
      <c r="H360" s="60"/>
      <c r="I360" s="60"/>
    </row>
    <row r="362" spans="2:27">
      <c r="Z362" s="13" t="str">
        <f>Show!$B$156&amp;Show!$B$156&amp;"S.27.01.01.12 Rows {"&amp;COLUMN($C$1)&amp;"}"</f>
        <v>!!S.27.01.01.12 Rows {3}</v>
      </c>
      <c r="AA362" s="13" t="str">
        <f>Show!$B$156&amp;Show!$B$156&amp;"S.27.01.01.12 Columns {"&amp;COLUMN($I$1)&amp;"}"</f>
        <v>!!S.27.01.01.12 Columns {9}</v>
      </c>
    </row>
    <row r="364" spans="2:27" ht="18.75">
      <c r="B364" s="88" t="s">
        <v>5320</v>
      </c>
      <c r="C364" s="87"/>
      <c r="D364" s="87"/>
      <c r="E364" s="87"/>
      <c r="F364" s="87"/>
      <c r="G364" s="87"/>
      <c r="H364" s="87"/>
      <c r="I364" s="87"/>
      <c r="J364" s="87"/>
      <c r="K364" s="87"/>
      <c r="L364" s="87"/>
    </row>
    <row r="368" spans="2:27">
      <c r="D368" s="92" t="s">
        <v>2877</v>
      </c>
      <c r="E368" s="93"/>
      <c r="F368" s="93"/>
      <c r="G368" s="94"/>
    </row>
    <row r="369" spans="2:27">
      <c r="D369" s="95"/>
      <c r="E369" s="96"/>
      <c r="F369" s="96"/>
      <c r="G369" s="97"/>
    </row>
    <row r="370" spans="2:27">
      <c r="D370" s="98" t="s">
        <v>5321</v>
      </c>
      <c r="E370" s="100"/>
      <c r="F370" s="100"/>
      <c r="G370" s="99"/>
    </row>
    <row r="371" spans="2:27" ht="60">
      <c r="D371" s="55" t="s">
        <v>5322</v>
      </c>
      <c r="E371" s="55" t="s">
        <v>5120</v>
      </c>
      <c r="F371" s="55" t="s">
        <v>5121</v>
      </c>
      <c r="G371" s="55" t="s">
        <v>5323</v>
      </c>
    </row>
    <row r="372" spans="2:27">
      <c r="D372" s="45" t="s">
        <v>3994</v>
      </c>
      <c r="E372" s="45" t="s">
        <v>3995</v>
      </c>
      <c r="F372" s="45" t="s">
        <v>3996</v>
      </c>
      <c r="G372" s="45" t="s">
        <v>3997</v>
      </c>
      <c r="Z372" s="13" t="str">
        <f>Show!$B$156&amp;"S.27.01.01.13 Rows {"&amp;COLUMN($C$1)&amp;"}"&amp;"@ForceFilingCode:true"</f>
        <v>!S.27.01.01.13 Rows {3}@ForceFilingCode:true</v>
      </c>
      <c r="AA372" s="13" t="str">
        <f>Show!$B$156&amp;"S.27.01.01.13 Columns {"&amp;COLUMN($D$1)&amp;"}"</f>
        <v>!S.27.01.01.13 Columns {4}</v>
      </c>
    </row>
    <row r="373" spans="2:27">
      <c r="B373" s="43" t="s">
        <v>2880</v>
      </c>
      <c r="C373" s="44" t="s">
        <v>2878</v>
      </c>
      <c r="D373" s="56"/>
      <c r="E373" s="66"/>
      <c r="F373" s="66"/>
      <c r="G373" s="57"/>
    </row>
    <row r="374" spans="2:27">
      <c r="B374" s="47" t="s">
        <v>5101</v>
      </c>
      <c r="C374" s="41" t="s">
        <v>3550</v>
      </c>
      <c r="D374" s="60"/>
      <c r="E374" s="60"/>
      <c r="F374" s="60"/>
      <c r="G374" s="60"/>
    </row>
    <row r="376" spans="2:27">
      <c r="Z376" s="13" t="str">
        <f>Show!$B$156&amp;Show!$B$156&amp;"S.27.01.01.13 Rows {"&amp;COLUMN($C$1)&amp;"}"</f>
        <v>!!S.27.01.01.13 Rows {3}</v>
      </c>
      <c r="AA376" s="13" t="str">
        <f>Show!$B$156&amp;Show!$B$156&amp;"S.27.01.01.13 Columns {"&amp;COLUMN($G$1)&amp;"}"</f>
        <v>!!S.27.01.01.13 Columns {7}</v>
      </c>
    </row>
    <row r="378" spans="2:27" ht="18.75">
      <c r="B378" s="88" t="s">
        <v>5324</v>
      </c>
      <c r="C378" s="87"/>
      <c r="D378" s="87"/>
      <c r="E378" s="87"/>
      <c r="F378" s="87"/>
      <c r="G378" s="87"/>
      <c r="H378" s="87"/>
      <c r="I378" s="87"/>
      <c r="J378" s="87"/>
      <c r="K378" s="87"/>
      <c r="L378" s="87"/>
    </row>
    <row r="382" spans="2:27">
      <c r="D382" s="92" t="s">
        <v>2877</v>
      </c>
      <c r="E382" s="93"/>
      <c r="F382" s="93"/>
      <c r="G382" s="93"/>
      <c r="H382" s="93"/>
      <c r="I382" s="93"/>
      <c r="J382" s="94"/>
    </row>
    <row r="383" spans="2:27">
      <c r="D383" s="95"/>
      <c r="E383" s="96"/>
      <c r="F383" s="96"/>
      <c r="G383" s="96"/>
      <c r="H383" s="96"/>
      <c r="I383" s="96"/>
      <c r="J383" s="97"/>
    </row>
    <row r="384" spans="2:27">
      <c r="D384" s="98" t="s">
        <v>5325</v>
      </c>
      <c r="E384" s="100"/>
      <c r="F384" s="100"/>
      <c r="G384" s="100"/>
      <c r="H384" s="100"/>
      <c r="I384" s="100"/>
      <c r="J384" s="99"/>
    </row>
    <row r="385" spans="2:27" ht="60">
      <c r="D385" s="55" t="s">
        <v>5326</v>
      </c>
      <c r="E385" s="55" t="s">
        <v>5327</v>
      </c>
      <c r="F385" s="55" t="s">
        <v>4151</v>
      </c>
      <c r="G385" s="55" t="s">
        <v>5328</v>
      </c>
      <c r="H385" s="55" t="s">
        <v>5120</v>
      </c>
      <c r="I385" s="55" t="s">
        <v>5121</v>
      </c>
      <c r="J385" s="55" t="s">
        <v>5329</v>
      </c>
    </row>
    <row r="386" spans="2:27">
      <c r="D386" s="45" t="s">
        <v>3998</v>
      </c>
      <c r="E386" s="45" t="s">
        <v>3999</v>
      </c>
      <c r="F386" s="45" t="s">
        <v>4000</v>
      </c>
      <c r="G386" s="45" t="s">
        <v>4001</v>
      </c>
      <c r="H386" s="45" t="s">
        <v>4002</v>
      </c>
      <c r="I386" s="45" t="s">
        <v>4003</v>
      </c>
      <c r="J386" s="45" t="s">
        <v>4004</v>
      </c>
      <c r="Z386" s="13" t="str">
        <f>Show!$B$156&amp;"S.27.01.01.14 Rows {"&amp;COLUMN($C$1)&amp;"}"&amp;"@ForceFilingCode:true"</f>
        <v>!S.27.01.01.14 Rows {3}@ForceFilingCode:true</v>
      </c>
      <c r="AA386" s="13" t="str">
        <f>Show!$B$156&amp;"S.27.01.01.14 Columns {"&amp;COLUMN($D$1)&amp;"}"</f>
        <v>!S.27.01.01.14 Columns {4}</v>
      </c>
    </row>
    <row r="387" spans="2:27">
      <c r="B387" s="43" t="s">
        <v>2880</v>
      </c>
      <c r="C387" s="44" t="s">
        <v>2878</v>
      </c>
      <c r="D387" s="56"/>
      <c r="E387" s="66"/>
      <c r="F387" s="66"/>
      <c r="G387" s="66"/>
      <c r="H387" s="66"/>
      <c r="I387" s="66"/>
      <c r="J387" s="57"/>
    </row>
    <row r="388" spans="2:27">
      <c r="B388" s="47" t="s">
        <v>5330</v>
      </c>
      <c r="C388" s="41" t="s">
        <v>3552</v>
      </c>
      <c r="D388" s="60"/>
      <c r="E388" s="60"/>
      <c r="F388" s="50"/>
      <c r="G388" s="60"/>
      <c r="H388" s="60"/>
      <c r="I388" s="60"/>
      <c r="J388" s="60"/>
    </row>
    <row r="389" spans="2:27">
      <c r="B389" s="47" t="s">
        <v>5331</v>
      </c>
      <c r="C389" s="41" t="s">
        <v>5332</v>
      </c>
      <c r="D389" s="60"/>
      <c r="E389" s="60"/>
      <c r="F389" s="50"/>
      <c r="G389" s="60"/>
      <c r="H389" s="60"/>
      <c r="I389" s="60"/>
      <c r="J389" s="60"/>
    </row>
    <row r="390" spans="2:27">
      <c r="B390" s="47" t="s">
        <v>5333</v>
      </c>
      <c r="C390" s="41" t="s">
        <v>5334</v>
      </c>
      <c r="D390" s="60"/>
      <c r="E390" s="60"/>
      <c r="F390" s="50"/>
      <c r="G390" s="60"/>
      <c r="H390" s="60"/>
      <c r="I390" s="60"/>
      <c r="J390" s="60"/>
    </row>
    <row r="391" spans="2:27">
      <c r="B391" s="47" t="s">
        <v>5335</v>
      </c>
      <c r="C391" s="41" t="s">
        <v>5336</v>
      </c>
      <c r="D391" s="60"/>
      <c r="E391" s="60"/>
      <c r="F391" s="50"/>
      <c r="G391" s="60"/>
      <c r="H391" s="60"/>
      <c r="I391" s="60"/>
      <c r="J391" s="60"/>
    </row>
    <row r="392" spans="2:27">
      <c r="B392" s="47" t="s">
        <v>5337</v>
      </c>
      <c r="C392" s="41" t="s">
        <v>5338</v>
      </c>
      <c r="D392" s="60"/>
      <c r="E392" s="63"/>
      <c r="F392" s="74"/>
      <c r="G392" s="60"/>
      <c r="H392" s="60"/>
      <c r="I392" s="60"/>
      <c r="J392" s="60"/>
    </row>
    <row r="393" spans="2:27">
      <c r="B393" s="47" t="s">
        <v>3480</v>
      </c>
      <c r="C393" s="41" t="s">
        <v>5339</v>
      </c>
      <c r="D393" s="64"/>
      <c r="E393" s="56"/>
      <c r="F393" s="46"/>
      <c r="G393" s="60"/>
      <c r="H393" s="60"/>
      <c r="I393" s="60"/>
      <c r="J393" s="60"/>
    </row>
    <row r="395" spans="2:27">
      <c r="Z395" s="13" t="str">
        <f>Show!$B$156&amp;Show!$B$156&amp;"S.27.01.01.14 Rows {"&amp;COLUMN($C$1)&amp;"}"</f>
        <v>!!S.27.01.01.14 Rows {3}</v>
      </c>
      <c r="AA395" s="13" t="str">
        <f>Show!$B$156&amp;Show!$B$156&amp;"S.27.01.01.14 Columns {"&amp;COLUMN($J$1)&amp;"}"</f>
        <v>!!S.27.01.01.14 Columns {10}</v>
      </c>
    </row>
    <row r="397" spans="2:27" ht="18.75">
      <c r="B397" s="88" t="s">
        <v>5340</v>
      </c>
      <c r="C397" s="87"/>
      <c r="D397" s="87"/>
      <c r="E397" s="87"/>
      <c r="F397" s="87"/>
      <c r="G397" s="87"/>
      <c r="H397" s="87"/>
      <c r="I397" s="87"/>
      <c r="J397" s="87"/>
      <c r="K397" s="87"/>
      <c r="L397" s="87"/>
    </row>
    <row r="401" spans="2:27">
      <c r="D401" s="92" t="s">
        <v>2877</v>
      </c>
      <c r="E401" s="93"/>
      <c r="F401" s="94"/>
    </row>
    <row r="402" spans="2:27">
      <c r="D402" s="95"/>
      <c r="E402" s="96"/>
      <c r="F402" s="97"/>
    </row>
    <row r="403" spans="2:27">
      <c r="D403" s="98" t="s">
        <v>5325</v>
      </c>
      <c r="E403" s="100"/>
      <c r="F403" s="99"/>
    </row>
    <row r="404" spans="2:27" ht="60">
      <c r="D404" s="55" t="s">
        <v>5328</v>
      </c>
      <c r="E404" s="55" t="s">
        <v>5306</v>
      </c>
      <c r="F404" s="55" t="s">
        <v>5329</v>
      </c>
    </row>
    <row r="405" spans="2:27">
      <c r="D405" s="45" t="s">
        <v>4006</v>
      </c>
      <c r="E405" s="45" t="s">
        <v>4560</v>
      </c>
      <c r="F405" s="45" t="s">
        <v>5341</v>
      </c>
      <c r="Z405" s="13" t="str">
        <f>Show!$B$156&amp;"S.27.01.01.15 Rows {"&amp;COLUMN($C$1)&amp;"}"&amp;"@ForceFilingCode:true"</f>
        <v>!S.27.01.01.15 Rows {3}@ForceFilingCode:true</v>
      </c>
      <c r="AA405" s="13" t="str">
        <f>Show!$B$156&amp;"S.27.01.01.15 Columns {"&amp;COLUMN($D$1)&amp;"}"</f>
        <v>!S.27.01.01.15 Columns {4}</v>
      </c>
    </row>
    <row r="406" spans="2:27">
      <c r="B406" s="43" t="s">
        <v>2880</v>
      </c>
      <c r="C406" s="44" t="s">
        <v>2878</v>
      </c>
      <c r="D406" s="56"/>
      <c r="E406" s="66"/>
      <c r="F406" s="57"/>
    </row>
    <row r="407" spans="2:27">
      <c r="B407" s="47" t="s">
        <v>5308</v>
      </c>
      <c r="C407" s="41" t="s">
        <v>5342</v>
      </c>
      <c r="D407" s="60"/>
      <c r="E407" s="63"/>
      <c r="F407" s="60"/>
    </row>
    <row r="408" spans="2:27">
      <c r="B408" s="47" t="s">
        <v>5343</v>
      </c>
      <c r="C408" s="41" t="s">
        <v>5344</v>
      </c>
      <c r="D408" s="64"/>
      <c r="E408" s="46"/>
      <c r="F408" s="60"/>
    </row>
    <row r="409" spans="2:27">
      <c r="B409" s="47" t="s">
        <v>5311</v>
      </c>
      <c r="C409" s="41" t="s">
        <v>5345</v>
      </c>
      <c r="D409" s="60"/>
      <c r="E409" s="60"/>
      <c r="F409" s="60"/>
    </row>
    <row r="411" spans="2:27">
      <c r="Z411" s="13" t="str">
        <f>Show!$B$156&amp;Show!$B$156&amp;"S.27.01.01.15 Rows {"&amp;COLUMN($C$1)&amp;"}"</f>
        <v>!!S.27.01.01.15 Rows {3}</v>
      </c>
      <c r="AA411" s="13" t="str">
        <f>Show!$B$156&amp;Show!$B$156&amp;"S.27.01.01.15 Columns {"&amp;COLUMN($F$1)&amp;"}"</f>
        <v>!!S.27.01.01.15 Columns {6}</v>
      </c>
    </row>
    <row r="413" spans="2:27" ht="18.75">
      <c r="B413" s="88" t="s">
        <v>5346</v>
      </c>
      <c r="C413" s="87"/>
      <c r="D413" s="87"/>
      <c r="E413" s="87"/>
      <c r="F413" s="87"/>
      <c r="G413" s="87"/>
      <c r="H413" s="87"/>
      <c r="I413" s="87"/>
      <c r="J413" s="87"/>
      <c r="K413" s="87"/>
      <c r="L413" s="87"/>
    </row>
    <row r="417" spans="2:27">
      <c r="D417" s="92" t="s">
        <v>2877</v>
      </c>
      <c r="E417" s="93"/>
      <c r="F417" s="93"/>
      <c r="G417" s="93"/>
      <c r="H417" s="93"/>
      <c r="I417" s="94"/>
    </row>
    <row r="418" spans="2:27">
      <c r="D418" s="95"/>
      <c r="E418" s="96"/>
      <c r="F418" s="96"/>
      <c r="G418" s="96"/>
      <c r="H418" s="96"/>
      <c r="I418" s="97"/>
    </row>
    <row r="419" spans="2:27">
      <c r="D419" s="98" t="s">
        <v>5347</v>
      </c>
      <c r="E419" s="100"/>
      <c r="F419" s="100"/>
      <c r="G419" s="100"/>
      <c r="H419" s="100"/>
      <c r="I419" s="99"/>
    </row>
    <row r="420" spans="2:27" ht="105">
      <c r="D420" s="55" t="s">
        <v>5348</v>
      </c>
      <c r="E420" s="55" t="s">
        <v>5350</v>
      </c>
      <c r="F420" s="55" t="s">
        <v>5351</v>
      </c>
      <c r="G420" s="55" t="s">
        <v>5120</v>
      </c>
      <c r="H420" s="55" t="s">
        <v>5121</v>
      </c>
      <c r="I420" s="55" t="s">
        <v>5352</v>
      </c>
    </row>
    <row r="421" spans="2:27">
      <c r="D421" s="45" t="s">
        <v>5349</v>
      </c>
      <c r="E421" s="45" t="s">
        <v>4008</v>
      </c>
      <c r="F421" s="45" t="s">
        <v>4009</v>
      </c>
      <c r="G421" s="45" t="s">
        <v>4010</v>
      </c>
      <c r="H421" s="45" t="s">
        <v>4011</v>
      </c>
      <c r="I421" s="45" t="s">
        <v>4012</v>
      </c>
      <c r="Z421" s="13" t="str">
        <f>Show!$B$156&amp;"S.27.01.01.16 Rows {"&amp;COLUMN($C$1)&amp;"}"&amp;"@ForceFilingCode:true"</f>
        <v>!S.27.01.01.16 Rows {3}@ForceFilingCode:true</v>
      </c>
      <c r="AA421" s="13" t="str">
        <f>Show!$B$156&amp;"S.27.01.01.16 Columns {"&amp;COLUMN($D$1)&amp;"}"</f>
        <v>!S.27.01.01.16 Columns {4}</v>
      </c>
    </row>
    <row r="422" spans="2:27">
      <c r="B422" s="43" t="s">
        <v>2880</v>
      </c>
      <c r="C422" s="44" t="s">
        <v>2878</v>
      </c>
      <c r="D422" s="56"/>
      <c r="E422" s="66"/>
      <c r="F422" s="66"/>
      <c r="G422" s="66"/>
      <c r="H422" s="66"/>
      <c r="I422" s="57"/>
    </row>
    <row r="423" spans="2:27">
      <c r="B423" s="47" t="s">
        <v>5353</v>
      </c>
      <c r="C423" s="41" t="s">
        <v>5354</v>
      </c>
      <c r="D423" s="60"/>
      <c r="E423" s="70"/>
      <c r="F423" s="60"/>
      <c r="G423" s="60"/>
      <c r="H423" s="60"/>
      <c r="I423" s="60"/>
    </row>
    <row r="424" spans="2:27">
      <c r="B424" s="47" t="s">
        <v>5355</v>
      </c>
      <c r="C424" s="41" t="s">
        <v>5356</v>
      </c>
      <c r="D424" s="60"/>
      <c r="E424" s="70"/>
      <c r="F424" s="60"/>
      <c r="G424" s="60"/>
      <c r="H424" s="60"/>
      <c r="I424" s="60"/>
    </row>
    <row r="425" spans="2:27">
      <c r="B425" s="47" t="s">
        <v>3480</v>
      </c>
      <c r="C425" s="41" t="s">
        <v>5357</v>
      </c>
      <c r="D425" s="60"/>
      <c r="E425" s="70"/>
      <c r="F425" s="60"/>
      <c r="G425" s="60"/>
      <c r="H425" s="60"/>
      <c r="I425" s="60"/>
    </row>
    <row r="427" spans="2:27">
      <c r="Z427" s="13" t="str">
        <f>Show!$B$156&amp;Show!$B$156&amp;"S.27.01.01.16 Rows {"&amp;COLUMN($C$1)&amp;"}"</f>
        <v>!!S.27.01.01.16 Rows {3}</v>
      </c>
      <c r="AA427" s="13" t="str">
        <f>Show!$B$156&amp;Show!$B$156&amp;"S.27.01.01.16 Columns {"&amp;COLUMN($I$1)&amp;"}"</f>
        <v>!!S.27.01.01.16 Columns {9}</v>
      </c>
    </row>
    <row r="429" spans="2:27" ht="18.75">
      <c r="B429" s="88" t="s">
        <v>5358</v>
      </c>
      <c r="C429" s="87"/>
      <c r="D429" s="87"/>
      <c r="E429" s="87"/>
      <c r="F429" s="87"/>
      <c r="G429" s="87"/>
      <c r="H429" s="87"/>
      <c r="I429" s="87"/>
      <c r="J429" s="87"/>
      <c r="K429" s="87"/>
      <c r="L429" s="87"/>
    </row>
    <row r="433" spans="2:27">
      <c r="D433" s="92" t="s">
        <v>2877</v>
      </c>
      <c r="E433" s="93"/>
      <c r="F433" s="93"/>
      <c r="G433" s="93"/>
      <c r="H433" s="94"/>
    </row>
    <row r="434" spans="2:27">
      <c r="D434" s="95"/>
      <c r="E434" s="96"/>
      <c r="F434" s="96"/>
      <c r="G434" s="96"/>
      <c r="H434" s="97"/>
    </row>
    <row r="435" spans="2:27">
      <c r="D435" s="98" t="s">
        <v>5359</v>
      </c>
      <c r="E435" s="100"/>
      <c r="F435" s="100"/>
      <c r="G435" s="100"/>
      <c r="H435" s="99"/>
    </row>
    <row r="436" spans="2:27" ht="105">
      <c r="D436" s="55" t="s">
        <v>5326</v>
      </c>
      <c r="E436" s="55" t="s">
        <v>5360</v>
      </c>
      <c r="F436" s="55" t="s">
        <v>5120</v>
      </c>
      <c r="G436" s="55" t="s">
        <v>5121</v>
      </c>
      <c r="H436" s="55" t="s">
        <v>5361</v>
      </c>
    </row>
    <row r="437" spans="2:27">
      <c r="D437" s="45" t="s">
        <v>4013</v>
      </c>
      <c r="E437" s="45" t="s">
        <v>4014</v>
      </c>
      <c r="F437" s="45" t="s">
        <v>4015</v>
      </c>
      <c r="G437" s="45" t="s">
        <v>4016</v>
      </c>
      <c r="H437" s="45" t="s">
        <v>4017</v>
      </c>
      <c r="Z437" s="13" t="str">
        <f>Show!$B$156&amp;"S.27.01.01.17 Rows {"&amp;COLUMN($C$1)&amp;"}"&amp;"@ForceFilingCode:true"</f>
        <v>!S.27.01.01.17 Rows {3}@ForceFilingCode:true</v>
      </c>
      <c r="AA437" s="13" t="str">
        <f>Show!$B$156&amp;"S.27.01.01.17 Columns {"&amp;COLUMN($D$1)&amp;"}"</f>
        <v>!S.27.01.01.17 Columns {4}</v>
      </c>
    </row>
    <row r="438" spans="2:27">
      <c r="B438" s="43" t="s">
        <v>2880</v>
      </c>
      <c r="C438" s="44" t="s">
        <v>2878</v>
      </c>
      <c r="D438" s="56"/>
      <c r="E438" s="66"/>
      <c r="F438" s="66"/>
      <c r="G438" s="66"/>
      <c r="H438" s="57"/>
    </row>
    <row r="439" spans="2:27">
      <c r="B439" s="47" t="s">
        <v>3480</v>
      </c>
      <c r="C439" s="41" t="s">
        <v>5362</v>
      </c>
      <c r="D439" s="60"/>
      <c r="E439" s="60"/>
      <c r="F439" s="60"/>
      <c r="G439" s="60"/>
      <c r="H439" s="60"/>
    </row>
    <row r="441" spans="2:27">
      <c r="Z441" s="13" t="str">
        <f>Show!$B$156&amp;Show!$B$156&amp;"S.27.01.01.17 Rows {"&amp;COLUMN($C$1)&amp;"}"</f>
        <v>!!S.27.01.01.17 Rows {3}</v>
      </c>
      <c r="AA441" s="13" t="str">
        <f>Show!$B$156&amp;Show!$B$156&amp;"S.27.01.01.17 Columns {"&amp;COLUMN($H$1)&amp;"}"</f>
        <v>!!S.27.01.01.17 Columns {8}</v>
      </c>
    </row>
    <row r="443" spans="2:27" ht="18.75">
      <c r="B443" s="88" t="s">
        <v>5363</v>
      </c>
      <c r="C443" s="87"/>
      <c r="D443" s="87"/>
      <c r="E443" s="87"/>
      <c r="F443" s="87"/>
      <c r="G443" s="87"/>
      <c r="H443" s="87"/>
      <c r="I443" s="87"/>
      <c r="J443" s="87"/>
      <c r="K443" s="87"/>
      <c r="L443" s="87"/>
    </row>
    <row r="447" spans="2:27">
      <c r="D447" s="92" t="s">
        <v>2877</v>
      </c>
      <c r="E447" s="93"/>
      <c r="F447" s="94"/>
    </row>
    <row r="448" spans="2:27">
      <c r="D448" s="95"/>
      <c r="E448" s="96"/>
      <c r="F448" s="97"/>
    </row>
    <row r="449" spans="2:27">
      <c r="D449" s="98" t="s">
        <v>5364</v>
      </c>
      <c r="E449" s="100"/>
      <c r="F449" s="99"/>
    </row>
    <row r="450" spans="2:27" ht="90">
      <c r="D450" s="55" t="s">
        <v>5365</v>
      </c>
      <c r="E450" s="55" t="s">
        <v>5306</v>
      </c>
      <c r="F450" s="55" t="s">
        <v>5366</v>
      </c>
    </row>
    <row r="451" spans="2:27">
      <c r="D451" s="45" t="s">
        <v>4018</v>
      </c>
      <c r="E451" s="45" t="s">
        <v>4019</v>
      </c>
      <c r="F451" s="45" t="s">
        <v>4020</v>
      </c>
      <c r="Z451" s="13" t="str">
        <f>Show!$B$156&amp;"S.27.01.01.18 Rows {"&amp;COLUMN($C$1)&amp;"}"&amp;"@ForceFilingCode:true"</f>
        <v>!S.27.01.01.18 Rows {3}@ForceFilingCode:true</v>
      </c>
      <c r="AA451" s="13" t="str">
        <f>Show!$B$156&amp;"S.27.01.01.18 Columns {"&amp;COLUMN($D$1)&amp;"}"</f>
        <v>!S.27.01.01.18 Columns {4}</v>
      </c>
    </row>
    <row r="452" spans="2:27">
      <c r="B452" s="43" t="s">
        <v>2880</v>
      </c>
      <c r="C452" s="44" t="s">
        <v>2878</v>
      </c>
      <c r="D452" s="56"/>
      <c r="E452" s="66"/>
      <c r="F452" s="57"/>
    </row>
    <row r="453" spans="2:27">
      <c r="B453" s="47" t="s">
        <v>5308</v>
      </c>
      <c r="C453" s="41" t="s">
        <v>5367</v>
      </c>
      <c r="D453" s="60"/>
      <c r="E453" s="63"/>
      <c r="F453" s="60"/>
    </row>
    <row r="454" spans="2:27">
      <c r="B454" s="47" t="s">
        <v>5309</v>
      </c>
      <c r="C454" s="41" t="s">
        <v>5368</v>
      </c>
      <c r="D454" s="64"/>
      <c r="E454" s="46"/>
      <c r="F454" s="60"/>
    </row>
    <row r="455" spans="2:27">
      <c r="B455" s="47" t="s">
        <v>5311</v>
      </c>
      <c r="C455" s="41" t="s">
        <v>5369</v>
      </c>
      <c r="D455" s="60"/>
      <c r="E455" s="60"/>
      <c r="F455" s="60"/>
    </row>
    <row r="457" spans="2:27">
      <c r="Z457" s="13" t="str">
        <f>Show!$B$156&amp;Show!$B$156&amp;"S.27.01.01.18 Rows {"&amp;COLUMN($C$1)&amp;"}"</f>
        <v>!!S.27.01.01.18 Rows {3}</v>
      </c>
      <c r="AA457" s="13" t="str">
        <f>Show!$B$156&amp;Show!$B$156&amp;"S.27.01.01.18 Columns {"&amp;COLUMN($F$1)&amp;"}"</f>
        <v>!!S.27.01.01.18 Columns {6}</v>
      </c>
    </row>
    <row r="459" spans="2:27" ht="18.75">
      <c r="B459" s="88" t="s">
        <v>5370</v>
      </c>
      <c r="C459" s="87"/>
      <c r="D459" s="87"/>
      <c r="E459" s="87"/>
      <c r="F459" s="87"/>
      <c r="G459" s="87"/>
      <c r="H459" s="87"/>
      <c r="I459" s="87"/>
      <c r="J459" s="87"/>
      <c r="K459" s="87"/>
      <c r="L459" s="87"/>
    </row>
    <row r="463" spans="2:27">
      <c r="D463" s="92" t="s">
        <v>2877</v>
      </c>
      <c r="E463" s="93"/>
      <c r="F463" s="93"/>
      <c r="G463" s="94"/>
    </row>
    <row r="464" spans="2:27">
      <c r="D464" s="95"/>
      <c r="E464" s="96"/>
      <c r="F464" s="96"/>
      <c r="G464" s="97"/>
    </row>
    <row r="465" spans="2:27">
      <c r="D465" s="98" t="s">
        <v>5371</v>
      </c>
      <c r="E465" s="100"/>
      <c r="F465" s="100"/>
      <c r="G465" s="99"/>
    </row>
    <row r="466" spans="2:27" ht="90">
      <c r="D466" s="55" t="s">
        <v>5114</v>
      </c>
      <c r="E466" s="55" t="s">
        <v>5372</v>
      </c>
      <c r="F466" s="55" t="s">
        <v>5306</v>
      </c>
      <c r="G466" s="55" t="s">
        <v>5373</v>
      </c>
    </row>
    <row r="467" spans="2:27">
      <c r="D467" s="45" t="s">
        <v>4021</v>
      </c>
      <c r="E467" s="45" t="s">
        <v>4022</v>
      </c>
      <c r="F467" s="45" t="s">
        <v>4023</v>
      </c>
      <c r="G467" s="45" t="s">
        <v>4025</v>
      </c>
      <c r="Z467" s="13" t="str">
        <f>Show!$B$156&amp;"S.27.01.01.19 Rows {"&amp;COLUMN($C$1)&amp;"}"&amp;"@ForceFilingCode:true"</f>
        <v>!S.27.01.01.19 Rows {3}@ForceFilingCode:true</v>
      </c>
      <c r="AA467" s="13" t="str">
        <f>Show!$B$156&amp;"S.27.01.01.19 Columns {"&amp;COLUMN($D$1)&amp;"}"</f>
        <v>!S.27.01.01.19 Columns {4}</v>
      </c>
    </row>
    <row r="468" spans="2:27">
      <c r="B468" s="43" t="s">
        <v>2880</v>
      </c>
      <c r="C468" s="44" t="s">
        <v>2878</v>
      </c>
      <c r="D468" s="56"/>
      <c r="E468" s="66"/>
      <c r="F468" s="67"/>
      <c r="G468" s="59"/>
    </row>
    <row r="469" spans="2:27">
      <c r="B469" s="47" t="s">
        <v>5374</v>
      </c>
      <c r="C469" s="41" t="s">
        <v>5375</v>
      </c>
      <c r="D469" s="60"/>
      <c r="E469" s="64"/>
      <c r="F469" s="58"/>
      <c r="G469" s="48"/>
    </row>
    <row r="470" spans="2:27">
      <c r="B470" s="47" t="s">
        <v>5376</v>
      </c>
      <c r="C470" s="41" t="s">
        <v>5377</v>
      </c>
      <c r="D470" s="60"/>
      <c r="E470" s="64"/>
      <c r="F470" s="58"/>
      <c r="G470" s="48"/>
    </row>
    <row r="471" spans="2:27">
      <c r="B471" s="47" t="s">
        <v>3471</v>
      </c>
      <c r="C471" s="41" t="s">
        <v>5378</v>
      </c>
      <c r="D471" s="60"/>
      <c r="E471" s="64"/>
      <c r="F471" s="58"/>
      <c r="G471" s="48"/>
    </row>
    <row r="472" spans="2:27">
      <c r="B472" s="47" t="s">
        <v>5379</v>
      </c>
      <c r="C472" s="41" t="s">
        <v>5380</v>
      </c>
      <c r="D472" s="60"/>
      <c r="E472" s="64"/>
      <c r="F472" s="58"/>
      <c r="G472" s="48"/>
    </row>
    <row r="473" spans="2:27">
      <c r="B473" s="47" t="s">
        <v>5381</v>
      </c>
      <c r="C473" s="41" t="s">
        <v>5382</v>
      </c>
      <c r="D473" s="63"/>
      <c r="E473" s="64"/>
      <c r="F473" s="56"/>
      <c r="G473" s="46"/>
    </row>
    <row r="474" spans="2:27">
      <c r="B474" s="47" t="s">
        <v>5308</v>
      </c>
      <c r="C474" s="44" t="s">
        <v>5383</v>
      </c>
      <c r="D474" s="48"/>
      <c r="E474" s="60"/>
      <c r="F474" s="60"/>
      <c r="G474" s="60"/>
    </row>
    <row r="475" spans="2:27">
      <c r="B475" s="47" t="s">
        <v>5384</v>
      </c>
      <c r="C475" s="44" t="s">
        <v>5385</v>
      </c>
      <c r="D475" s="48"/>
      <c r="E475" s="60"/>
      <c r="F475" s="60"/>
      <c r="G475" s="60"/>
    </row>
    <row r="476" spans="2:27">
      <c r="B476" s="47" t="s">
        <v>5311</v>
      </c>
      <c r="C476" s="44" t="s">
        <v>5386</v>
      </c>
      <c r="D476" s="46"/>
      <c r="E476" s="60"/>
      <c r="F476" s="60"/>
      <c r="G476" s="60"/>
    </row>
    <row r="478" spans="2:27">
      <c r="Z478" s="13" t="str">
        <f>Show!$B$156&amp;Show!$B$156&amp;"S.27.01.01.19 Rows {"&amp;COLUMN($C$1)&amp;"}"</f>
        <v>!!S.27.01.01.19 Rows {3}</v>
      </c>
      <c r="AA478" s="13" t="str">
        <f>Show!$B$156&amp;Show!$B$156&amp;"S.27.01.01.19 Columns {"&amp;COLUMN($G$1)&amp;"}"</f>
        <v>!!S.27.01.01.19 Columns {7}</v>
      </c>
    </row>
    <row r="480" spans="2:27" ht="18.75">
      <c r="B480" s="88" t="s">
        <v>5387</v>
      </c>
      <c r="C480" s="87"/>
      <c r="D480" s="87"/>
      <c r="E480" s="87"/>
      <c r="F480" s="87"/>
      <c r="G480" s="87"/>
      <c r="H480" s="87"/>
      <c r="I480" s="87"/>
      <c r="J480" s="87"/>
      <c r="K480" s="87"/>
      <c r="L480" s="87"/>
    </row>
    <row r="484" spans="2:27">
      <c r="D484" s="92" t="s">
        <v>2877</v>
      </c>
      <c r="E484" s="93"/>
      <c r="F484" s="93"/>
      <c r="G484" s="93"/>
      <c r="H484" s="93"/>
      <c r="I484" s="93"/>
      <c r="J484" s="93"/>
      <c r="K484" s="93"/>
      <c r="L484" s="93"/>
      <c r="M484" s="93"/>
      <c r="N484" s="93"/>
      <c r="O484" s="94"/>
    </row>
    <row r="485" spans="2:27">
      <c r="D485" s="95"/>
      <c r="E485" s="96"/>
      <c r="F485" s="96"/>
      <c r="G485" s="96"/>
      <c r="H485" s="96"/>
      <c r="I485" s="96"/>
      <c r="J485" s="96"/>
      <c r="K485" s="96"/>
      <c r="L485" s="96"/>
      <c r="M485" s="96"/>
      <c r="N485" s="96"/>
      <c r="O485" s="97"/>
    </row>
    <row r="486" spans="2:27">
      <c r="D486" s="98" t="s">
        <v>5388</v>
      </c>
      <c r="E486" s="99"/>
      <c r="F486" s="98" t="s">
        <v>5393</v>
      </c>
      <c r="G486" s="99"/>
      <c r="H486" s="98" t="s">
        <v>5395</v>
      </c>
      <c r="I486" s="99"/>
      <c r="J486" s="98" t="s">
        <v>5396</v>
      </c>
      <c r="K486" s="99"/>
      <c r="L486" s="89" t="s">
        <v>5119</v>
      </c>
      <c r="M486" s="89" t="s">
        <v>5120</v>
      </c>
      <c r="N486" s="89" t="s">
        <v>5121</v>
      </c>
      <c r="O486" s="89" t="s">
        <v>5122</v>
      </c>
    </row>
    <row r="487" spans="2:27" ht="45">
      <c r="D487" s="55" t="s">
        <v>5389</v>
      </c>
      <c r="E487" s="55" t="s">
        <v>5391</v>
      </c>
      <c r="F487" s="55" t="s">
        <v>5389</v>
      </c>
      <c r="G487" s="55" t="s">
        <v>5391</v>
      </c>
      <c r="H487" s="55" t="s">
        <v>5389</v>
      </c>
      <c r="I487" s="55" t="s">
        <v>5391</v>
      </c>
      <c r="J487" s="55" t="s">
        <v>5389</v>
      </c>
      <c r="K487" s="55" t="s">
        <v>5391</v>
      </c>
      <c r="L487" s="91"/>
      <c r="M487" s="91"/>
      <c r="N487" s="91"/>
      <c r="O487" s="91"/>
    </row>
    <row r="488" spans="2:27">
      <c r="D488" s="45" t="s">
        <v>5390</v>
      </c>
      <c r="E488" s="45" t="s">
        <v>5392</v>
      </c>
      <c r="F488" s="45" t="s">
        <v>5394</v>
      </c>
      <c r="G488" s="45" t="s">
        <v>4027</v>
      </c>
      <c r="H488" s="45" t="s">
        <v>4030</v>
      </c>
      <c r="I488" s="45" t="s">
        <v>4031</v>
      </c>
      <c r="J488" s="45" t="s">
        <v>4032</v>
      </c>
      <c r="K488" s="45" t="s">
        <v>4033</v>
      </c>
      <c r="L488" s="45" t="s">
        <v>4034</v>
      </c>
      <c r="M488" s="45" t="s">
        <v>4035</v>
      </c>
      <c r="N488" s="45" t="s">
        <v>4036</v>
      </c>
      <c r="O488" s="45" t="s">
        <v>4037</v>
      </c>
      <c r="Z488" s="13" t="str">
        <f>Show!$B$156&amp;"S.27.01.01.20 Rows {"&amp;COLUMN($C$1)&amp;"}"&amp;"@ForceFilingCode:true"</f>
        <v>!S.27.01.01.20 Rows {3}@ForceFilingCode:true</v>
      </c>
      <c r="AA488" s="13" t="str">
        <f>Show!$B$156&amp;"S.27.01.01.20 Columns {"&amp;COLUMN($D$1)&amp;"}"</f>
        <v>!S.27.01.01.20 Columns {4}</v>
      </c>
    </row>
    <row r="489" spans="2:27">
      <c r="B489" s="43" t="s">
        <v>2880</v>
      </c>
      <c r="C489" s="44" t="s">
        <v>2878</v>
      </c>
      <c r="D489" s="58"/>
      <c r="E489" s="67"/>
      <c r="F489" s="67"/>
      <c r="G489" s="67"/>
      <c r="H489" s="67"/>
      <c r="I489" s="67"/>
      <c r="J489" s="67"/>
      <c r="K489" s="67"/>
      <c r="L489" s="67"/>
      <c r="M489" s="67"/>
      <c r="N489" s="67"/>
      <c r="O489" s="59"/>
    </row>
    <row r="490" spans="2:27">
      <c r="B490" s="47" t="s">
        <v>5397</v>
      </c>
      <c r="C490" s="44" t="s">
        <v>2878</v>
      </c>
      <c r="D490" s="56"/>
      <c r="E490" s="66"/>
      <c r="F490" s="66"/>
      <c r="G490" s="66"/>
      <c r="H490" s="66"/>
      <c r="I490" s="66"/>
      <c r="J490" s="66"/>
      <c r="K490" s="66"/>
      <c r="L490" s="66"/>
      <c r="M490" s="66"/>
      <c r="N490" s="66"/>
      <c r="O490" s="57"/>
    </row>
    <row r="491" spans="2:27">
      <c r="B491" s="49" t="s">
        <v>5124</v>
      </c>
      <c r="C491" s="41" t="s">
        <v>5398</v>
      </c>
      <c r="D491" s="50"/>
      <c r="E491" s="60"/>
      <c r="F491" s="50"/>
      <c r="G491" s="60"/>
      <c r="H491" s="50"/>
      <c r="I491" s="60"/>
      <c r="J491" s="50"/>
      <c r="K491" s="60"/>
      <c r="L491" s="60"/>
      <c r="M491" s="60"/>
      <c r="N491" s="60"/>
      <c r="O491" s="60"/>
    </row>
    <row r="492" spans="2:27">
      <c r="B492" s="49" t="s">
        <v>5125</v>
      </c>
      <c r="C492" s="41" t="s">
        <v>5399</v>
      </c>
      <c r="D492" s="50"/>
      <c r="E492" s="60"/>
      <c r="F492" s="50"/>
      <c r="G492" s="60"/>
      <c r="H492" s="50"/>
      <c r="I492" s="60"/>
      <c r="J492" s="50"/>
      <c r="K492" s="60"/>
      <c r="L492" s="60"/>
      <c r="M492" s="60"/>
      <c r="N492" s="60"/>
      <c r="O492" s="60"/>
    </row>
    <row r="493" spans="2:27">
      <c r="B493" s="49" t="s">
        <v>5174</v>
      </c>
      <c r="C493" s="41" t="s">
        <v>5400</v>
      </c>
      <c r="D493" s="50"/>
      <c r="E493" s="60"/>
      <c r="F493" s="50"/>
      <c r="G493" s="60"/>
      <c r="H493" s="50"/>
      <c r="I493" s="60"/>
      <c r="J493" s="50"/>
      <c r="K493" s="60"/>
      <c r="L493" s="60"/>
      <c r="M493" s="60"/>
      <c r="N493" s="60"/>
      <c r="O493" s="60"/>
    </row>
    <row r="494" spans="2:27">
      <c r="B494" s="49" t="s">
        <v>5175</v>
      </c>
      <c r="C494" s="41" t="s">
        <v>5401</v>
      </c>
      <c r="D494" s="50"/>
      <c r="E494" s="60"/>
      <c r="F494" s="50"/>
      <c r="G494" s="60"/>
      <c r="H494" s="50"/>
      <c r="I494" s="60"/>
      <c r="J494" s="50"/>
      <c r="K494" s="60"/>
      <c r="L494" s="60"/>
      <c r="M494" s="60"/>
      <c r="N494" s="60"/>
      <c r="O494" s="60"/>
    </row>
    <row r="495" spans="2:27">
      <c r="B495" s="49" t="s">
        <v>5176</v>
      </c>
      <c r="C495" s="41" t="s">
        <v>5402</v>
      </c>
      <c r="D495" s="50"/>
      <c r="E495" s="60"/>
      <c r="F495" s="50"/>
      <c r="G495" s="60"/>
      <c r="H495" s="50"/>
      <c r="I495" s="60"/>
      <c r="J495" s="50"/>
      <c r="K495" s="60"/>
      <c r="L495" s="60"/>
      <c r="M495" s="60"/>
      <c r="N495" s="60"/>
      <c r="O495" s="60"/>
    </row>
    <row r="496" spans="2:27">
      <c r="B496" s="49" t="s">
        <v>5126</v>
      </c>
      <c r="C496" s="41" t="s">
        <v>5403</v>
      </c>
      <c r="D496" s="50"/>
      <c r="E496" s="60"/>
      <c r="F496" s="50"/>
      <c r="G496" s="60"/>
      <c r="H496" s="50"/>
      <c r="I496" s="60"/>
      <c r="J496" s="50"/>
      <c r="K496" s="60"/>
      <c r="L496" s="60"/>
      <c r="M496" s="60"/>
      <c r="N496" s="60"/>
      <c r="O496" s="60"/>
    </row>
    <row r="497" spans="2:15">
      <c r="B497" s="49" t="s">
        <v>5128</v>
      </c>
      <c r="C497" s="41" t="s">
        <v>5404</v>
      </c>
      <c r="D497" s="50"/>
      <c r="E497" s="60"/>
      <c r="F497" s="50"/>
      <c r="G497" s="60"/>
      <c r="H497" s="50"/>
      <c r="I497" s="60"/>
      <c r="J497" s="50"/>
      <c r="K497" s="60"/>
      <c r="L497" s="60"/>
      <c r="M497" s="60"/>
      <c r="N497" s="60"/>
      <c r="O497" s="60"/>
    </row>
    <row r="498" spans="2:15">
      <c r="B498" s="49" t="s">
        <v>5405</v>
      </c>
      <c r="C498" s="41" t="s">
        <v>5406</v>
      </c>
      <c r="D498" s="50"/>
      <c r="E498" s="60"/>
      <c r="F498" s="50"/>
      <c r="G498" s="60"/>
      <c r="H498" s="50"/>
      <c r="I498" s="60"/>
      <c r="J498" s="50"/>
      <c r="K498" s="60"/>
      <c r="L498" s="60"/>
      <c r="M498" s="60"/>
      <c r="N498" s="60"/>
      <c r="O498" s="60"/>
    </row>
    <row r="499" spans="2:15">
      <c r="B499" s="49" t="s">
        <v>5140</v>
      </c>
      <c r="C499" s="41" t="s">
        <v>5407</v>
      </c>
      <c r="D499" s="50"/>
      <c r="E499" s="60"/>
      <c r="F499" s="50"/>
      <c r="G499" s="60"/>
      <c r="H499" s="50"/>
      <c r="I499" s="60"/>
      <c r="J499" s="50"/>
      <c r="K499" s="60"/>
      <c r="L499" s="60"/>
      <c r="M499" s="60"/>
      <c r="N499" s="60"/>
      <c r="O499" s="60"/>
    </row>
    <row r="500" spans="2:15">
      <c r="B500" s="49" t="s">
        <v>5408</v>
      </c>
      <c r="C500" s="41" t="s">
        <v>5409</v>
      </c>
      <c r="D500" s="50"/>
      <c r="E500" s="60"/>
      <c r="F500" s="50"/>
      <c r="G500" s="60"/>
      <c r="H500" s="50"/>
      <c r="I500" s="60"/>
      <c r="J500" s="50"/>
      <c r="K500" s="60"/>
      <c r="L500" s="60"/>
      <c r="M500" s="60"/>
      <c r="N500" s="60"/>
      <c r="O500" s="60"/>
    </row>
    <row r="501" spans="2:15">
      <c r="B501" s="49" t="s">
        <v>5177</v>
      </c>
      <c r="C501" s="41" t="s">
        <v>5410</v>
      </c>
      <c r="D501" s="50"/>
      <c r="E501" s="60"/>
      <c r="F501" s="50"/>
      <c r="G501" s="60"/>
      <c r="H501" s="50"/>
      <c r="I501" s="60"/>
      <c r="J501" s="50"/>
      <c r="K501" s="60"/>
      <c r="L501" s="60"/>
      <c r="M501" s="60"/>
      <c r="N501" s="60"/>
      <c r="O501" s="60"/>
    </row>
    <row r="502" spans="2:15">
      <c r="B502" s="49" t="s">
        <v>5132</v>
      </c>
      <c r="C502" s="41" t="s">
        <v>5411</v>
      </c>
      <c r="D502" s="50"/>
      <c r="E502" s="60"/>
      <c r="F502" s="50"/>
      <c r="G502" s="60"/>
      <c r="H502" s="50"/>
      <c r="I502" s="60"/>
      <c r="J502" s="50"/>
      <c r="K502" s="60"/>
      <c r="L502" s="60"/>
      <c r="M502" s="60"/>
      <c r="N502" s="60"/>
      <c r="O502" s="60"/>
    </row>
    <row r="503" spans="2:15">
      <c r="B503" s="49" t="s">
        <v>5133</v>
      </c>
      <c r="C503" s="41" t="s">
        <v>5412</v>
      </c>
      <c r="D503" s="50"/>
      <c r="E503" s="60"/>
      <c r="F503" s="50"/>
      <c r="G503" s="60"/>
      <c r="H503" s="50"/>
      <c r="I503" s="60"/>
      <c r="J503" s="50"/>
      <c r="K503" s="60"/>
      <c r="L503" s="60"/>
      <c r="M503" s="60"/>
      <c r="N503" s="60"/>
      <c r="O503" s="60"/>
    </row>
    <row r="504" spans="2:15">
      <c r="B504" s="49" t="s">
        <v>5134</v>
      </c>
      <c r="C504" s="41" t="s">
        <v>5413</v>
      </c>
      <c r="D504" s="50"/>
      <c r="E504" s="60"/>
      <c r="F504" s="50"/>
      <c r="G504" s="60"/>
      <c r="H504" s="50"/>
      <c r="I504" s="60"/>
      <c r="J504" s="50"/>
      <c r="K504" s="60"/>
      <c r="L504" s="60"/>
      <c r="M504" s="60"/>
      <c r="N504" s="60"/>
      <c r="O504" s="60"/>
    </row>
    <row r="505" spans="2:15">
      <c r="B505" s="49" t="s">
        <v>5135</v>
      </c>
      <c r="C505" s="41" t="s">
        <v>5414</v>
      </c>
      <c r="D505" s="50"/>
      <c r="E505" s="60"/>
      <c r="F505" s="50"/>
      <c r="G505" s="60"/>
      <c r="H505" s="50"/>
      <c r="I505" s="60"/>
      <c r="J505" s="50"/>
      <c r="K505" s="60"/>
      <c r="L505" s="60"/>
      <c r="M505" s="60"/>
      <c r="N505" s="60"/>
      <c r="O505" s="60"/>
    </row>
    <row r="506" spans="2:15">
      <c r="B506" s="49" t="s">
        <v>5178</v>
      </c>
      <c r="C506" s="41" t="s">
        <v>5415</v>
      </c>
      <c r="D506" s="50"/>
      <c r="E506" s="60"/>
      <c r="F506" s="50"/>
      <c r="G506" s="60"/>
      <c r="H506" s="50"/>
      <c r="I506" s="60"/>
      <c r="J506" s="50"/>
      <c r="K506" s="60"/>
      <c r="L506" s="60"/>
      <c r="M506" s="60"/>
      <c r="N506" s="60"/>
      <c r="O506" s="60"/>
    </row>
    <row r="507" spans="2:15">
      <c r="B507" s="49" t="s">
        <v>5416</v>
      </c>
      <c r="C507" s="41" t="s">
        <v>5417</v>
      </c>
      <c r="D507" s="50"/>
      <c r="E507" s="60"/>
      <c r="F507" s="50"/>
      <c r="G507" s="60"/>
      <c r="H507" s="50"/>
      <c r="I507" s="60"/>
      <c r="J507" s="50"/>
      <c r="K507" s="60"/>
      <c r="L507" s="60"/>
      <c r="M507" s="60"/>
      <c r="N507" s="60"/>
      <c r="O507" s="60"/>
    </row>
    <row r="508" spans="2:15">
      <c r="B508" s="49" t="s">
        <v>5418</v>
      </c>
      <c r="C508" s="41" t="s">
        <v>5419</v>
      </c>
      <c r="D508" s="50"/>
      <c r="E508" s="60"/>
      <c r="F508" s="50"/>
      <c r="G508" s="60"/>
      <c r="H508" s="50"/>
      <c r="I508" s="60"/>
      <c r="J508" s="50"/>
      <c r="K508" s="60"/>
      <c r="L508" s="60"/>
      <c r="M508" s="60"/>
      <c r="N508" s="60"/>
      <c r="O508" s="60"/>
    </row>
    <row r="509" spans="2:15">
      <c r="B509" s="49" t="s">
        <v>5136</v>
      </c>
      <c r="C509" s="41" t="s">
        <v>5420</v>
      </c>
      <c r="D509" s="50"/>
      <c r="E509" s="60"/>
      <c r="F509" s="50"/>
      <c r="G509" s="60"/>
      <c r="H509" s="50"/>
      <c r="I509" s="60"/>
      <c r="J509" s="50"/>
      <c r="K509" s="60"/>
      <c r="L509" s="60"/>
      <c r="M509" s="60"/>
      <c r="N509" s="60"/>
      <c r="O509" s="60"/>
    </row>
    <row r="510" spans="2:15">
      <c r="B510" s="49" t="s">
        <v>5179</v>
      </c>
      <c r="C510" s="41" t="s">
        <v>5421</v>
      </c>
      <c r="D510" s="50"/>
      <c r="E510" s="60"/>
      <c r="F510" s="50"/>
      <c r="G510" s="60"/>
      <c r="H510" s="50"/>
      <c r="I510" s="60"/>
      <c r="J510" s="50"/>
      <c r="K510" s="60"/>
      <c r="L510" s="60"/>
      <c r="M510" s="60"/>
      <c r="N510" s="60"/>
      <c r="O510" s="60"/>
    </row>
    <row r="511" spans="2:15">
      <c r="B511" s="49" t="s">
        <v>5137</v>
      </c>
      <c r="C511" s="41" t="s">
        <v>5422</v>
      </c>
      <c r="D511" s="50"/>
      <c r="E511" s="60"/>
      <c r="F511" s="50"/>
      <c r="G511" s="60"/>
      <c r="H511" s="50"/>
      <c r="I511" s="60"/>
      <c r="J511" s="50"/>
      <c r="K511" s="60"/>
      <c r="L511" s="60"/>
      <c r="M511" s="60"/>
      <c r="N511" s="60"/>
      <c r="O511" s="60"/>
    </row>
    <row r="512" spans="2:15">
      <c r="B512" s="49" t="s">
        <v>5138</v>
      </c>
      <c r="C512" s="41" t="s">
        <v>5423</v>
      </c>
      <c r="D512" s="50"/>
      <c r="E512" s="60"/>
      <c r="F512" s="50"/>
      <c r="G512" s="60"/>
      <c r="H512" s="50"/>
      <c r="I512" s="60"/>
      <c r="J512" s="50"/>
      <c r="K512" s="60"/>
      <c r="L512" s="60"/>
      <c r="M512" s="60"/>
      <c r="N512" s="60"/>
      <c r="O512" s="60"/>
    </row>
    <row r="513" spans="2:27">
      <c r="B513" s="49" t="s">
        <v>5139</v>
      </c>
      <c r="C513" s="41" t="s">
        <v>5424</v>
      </c>
      <c r="D513" s="50"/>
      <c r="E513" s="60"/>
      <c r="F513" s="50"/>
      <c r="G513" s="60"/>
      <c r="H513" s="50"/>
      <c r="I513" s="60"/>
      <c r="J513" s="50"/>
      <c r="K513" s="60"/>
      <c r="L513" s="60"/>
      <c r="M513" s="60"/>
      <c r="N513" s="60"/>
      <c r="O513" s="60"/>
    </row>
    <row r="514" spans="2:27">
      <c r="B514" s="49" t="s">
        <v>5180</v>
      </c>
      <c r="C514" s="41" t="s">
        <v>5425</v>
      </c>
      <c r="D514" s="50"/>
      <c r="E514" s="60"/>
      <c r="F514" s="50"/>
      <c r="G514" s="60"/>
      <c r="H514" s="50"/>
      <c r="I514" s="60"/>
      <c r="J514" s="50"/>
      <c r="K514" s="60"/>
      <c r="L514" s="60"/>
      <c r="M514" s="60"/>
      <c r="N514" s="60"/>
      <c r="O514" s="60"/>
    </row>
    <row r="515" spans="2:27">
      <c r="B515" s="49" t="s">
        <v>5181</v>
      </c>
      <c r="C515" s="41" t="s">
        <v>5426</v>
      </c>
      <c r="D515" s="50"/>
      <c r="E515" s="60"/>
      <c r="F515" s="50"/>
      <c r="G515" s="60"/>
      <c r="H515" s="50"/>
      <c r="I515" s="60"/>
      <c r="J515" s="50"/>
      <c r="K515" s="60"/>
      <c r="L515" s="60"/>
      <c r="M515" s="60"/>
      <c r="N515" s="60"/>
      <c r="O515" s="60"/>
    </row>
    <row r="516" spans="2:27">
      <c r="B516" s="49" t="s">
        <v>5182</v>
      </c>
      <c r="C516" s="41" t="s">
        <v>5427</v>
      </c>
      <c r="D516" s="50"/>
      <c r="E516" s="60"/>
      <c r="F516" s="50"/>
      <c r="G516" s="60"/>
      <c r="H516" s="50"/>
      <c r="I516" s="60"/>
      <c r="J516" s="50"/>
      <c r="K516" s="60"/>
      <c r="L516" s="60"/>
      <c r="M516" s="60"/>
      <c r="N516" s="60"/>
      <c r="O516" s="60"/>
    </row>
    <row r="517" spans="2:27">
      <c r="B517" s="49" t="s">
        <v>5129</v>
      </c>
      <c r="C517" s="41" t="s">
        <v>5428</v>
      </c>
      <c r="D517" s="50"/>
      <c r="E517" s="60"/>
      <c r="F517" s="50"/>
      <c r="G517" s="60"/>
      <c r="H517" s="50"/>
      <c r="I517" s="60"/>
      <c r="J517" s="50"/>
      <c r="K517" s="60"/>
      <c r="L517" s="60"/>
      <c r="M517" s="60"/>
      <c r="N517" s="60"/>
      <c r="O517" s="60"/>
    </row>
    <row r="518" spans="2:27">
      <c r="B518" s="49" t="s">
        <v>5142</v>
      </c>
      <c r="C518" s="41" t="s">
        <v>5429</v>
      </c>
      <c r="D518" s="50"/>
      <c r="E518" s="60"/>
      <c r="F518" s="50"/>
      <c r="G518" s="60"/>
      <c r="H518" s="50"/>
      <c r="I518" s="60"/>
      <c r="J518" s="50"/>
      <c r="K518" s="60"/>
      <c r="L518" s="60"/>
      <c r="M518" s="60"/>
      <c r="N518" s="60"/>
      <c r="O518" s="60"/>
    </row>
    <row r="519" spans="2:27">
      <c r="B519" s="49" t="s">
        <v>5143</v>
      </c>
      <c r="C519" s="41" t="s">
        <v>5430</v>
      </c>
      <c r="D519" s="50"/>
      <c r="E519" s="60"/>
      <c r="F519" s="50"/>
      <c r="G519" s="60"/>
      <c r="H519" s="50"/>
      <c r="I519" s="60"/>
      <c r="J519" s="50"/>
      <c r="K519" s="60"/>
      <c r="L519" s="60"/>
      <c r="M519" s="60"/>
      <c r="N519" s="60"/>
      <c r="O519" s="60"/>
    </row>
    <row r="520" spans="2:27">
      <c r="B520" s="49" t="s">
        <v>5431</v>
      </c>
      <c r="C520" s="41" t="s">
        <v>5432</v>
      </c>
      <c r="D520" s="50"/>
      <c r="E520" s="60"/>
      <c r="F520" s="50"/>
      <c r="G520" s="60"/>
      <c r="H520" s="50"/>
      <c r="I520" s="60"/>
      <c r="J520" s="50"/>
      <c r="K520" s="60"/>
      <c r="L520" s="60"/>
      <c r="M520" s="60"/>
      <c r="N520" s="60"/>
      <c r="O520" s="60"/>
    </row>
    <row r="521" spans="2:27">
      <c r="B521" s="49" t="s">
        <v>5144</v>
      </c>
      <c r="C521" s="41" t="s">
        <v>5433</v>
      </c>
      <c r="D521" s="74"/>
      <c r="E521" s="63"/>
      <c r="F521" s="74"/>
      <c r="G521" s="63"/>
      <c r="H521" s="74"/>
      <c r="I521" s="63"/>
      <c r="J521" s="74"/>
      <c r="K521" s="63"/>
      <c r="L521" s="60"/>
      <c r="M521" s="60"/>
      <c r="N521" s="60"/>
      <c r="O521" s="60"/>
    </row>
    <row r="522" spans="2:27">
      <c r="B522" s="49" t="s">
        <v>5434</v>
      </c>
      <c r="C522" s="44" t="s">
        <v>5435</v>
      </c>
      <c r="D522" s="58"/>
      <c r="E522" s="58"/>
      <c r="F522" s="58"/>
      <c r="G522" s="58"/>
      <c r="H522" s="58"/>
      <c r="I522" s="58"/>
      <c r="J522" s="58"/>
      <c r="K522" s="48"/>
      <c r="L522" s="60"/>
      <c r="M522" s="63"/>
      <c r="N522" s="63"/>
      <c r="O522" s="60"/>
    </row>
    <row r="523" spans="2:27">
      <c r="B523" s="49" t="s">
        <v>5436</v>
      </c>
      <c r="C523" s="44" t="s">
        <v>5437</v>
      </c>
      <c r="D523" s="58"/>
      <c r="E523" s="58"/>
      <c r="F523" s="58"/>
      <c r="G523" s="58"/>
      <c r="H523" s="58"/>
      <c r="I523" s="58"/>
      <c r="J523" s="58"/>
      <c r="K523" s="48"/>
      <c r="L523" s="64"/>
      <c r="M523" s="58"/>
      <c r="N523" s="48"/>
      <c r="O523" s="60"/>
    </row>
    <row r="524" spans="2:27">
      <c r="B524" s="49" t="s">
        <v>5438</v>
      </c>
      <c r="C524" s="44" t="s">
        <v>5439</v>
      </c>
      <c r="D524" s="56"/>
      <c r="E524" s="56"/>
      <c r="F524" s="56"/>
      <c r="G524" s="56"/>
      <c r="H524" s="56"/>
      <c r="I524" s="56"/>
      <c r="J524" s="56"/>
      <c r="K524" s="46"/>
      <c r="L524" s="64"/>
      <c r="M524" s="56"/>
      <c r="N524" s="46"/>
      <c r="O524" s="60"/>
    </row>
    <row r="526" spans="2:27">
      <c r="Z526" s="13" t="str">
        <f>Show!$B$156&amp;Show!$B$156&amp;"S.27.01.01.20 Rows {"&amp;COLUMN($C$1)&amp;"}"</f>
        <v>!!S.27.01.01.20 Rows {3}</v>
      </c>
      <c r="AA526" s="13" t="str">
        <f>Show!$B$156&amp;Show!$B$156&amp;"S.27.01.01.20 Columns {"&amp;COLUMN($O$1)&amp;"}"</f>
        <v>!!S.27.01.01.20 Columns {15}</v>
      </c>
    </row>
    <row r="528" spans="2:27" ht="18.75">
      <c r="B528" s="88" t="s">
        <v>5440</v>
      </c>
      <c r="C528" s="87"/>
      <c r="D528" s="87"/>
      <c r="E528" s="87"/>
      <c r="F528" s="87"/>
      <c r="G528" s="87"/>
      <c r="H528" s="87"/>
      <c r="I528" s="87"/>
      <c r="J528" s="87"/>
      <c r="K528" s="87"/>
      <c r="L528" s="87"/>
    </row>
    <row r="532" spans="2:27">
      <c r="D532" s="92" t="s">
        <v>2877</v>
      </c>
      <c r="E532" s="93"/>
      <c r="F532" s="93"/>
      <c r="G532" s="93"/>
      <c r="H532" s="93"/>
      <c r="I532" s="93"/>
      <c r="J532" s="93"/>
      <c r="K532" s="93"/>
      <c r="L532" s="94"/>
    </row>
    <row r="533" spans="2:27">
      <c r="D533" s="95"/>
      <c r="E533" s="96"/>
      <c r="F533" s="96"/>
      <c r="G533" s="96"/>
      <c r="H533" s="96"/>
      <c r="I533" s="96"/>
      <c r="J533" s="96"/>
      <c r="K533" s="96"/>
      <c r="L533" s="97"/>
    </row>
    <row r="534" spans="2:27">
      <c r="D534" s="89" t="s">
        <v>5441</v>
      </c>
      <c r="E534" s="98" t="s">
        <v>5442</v>
      </c>
      <c r="F534" s="100"/>
      <c r="G534" s="100"/>
      <c r="H534" s="99"/>
      <c r="I534" s="89" t="s">
        <v>5119</v>
      </c>
      <c r="J534" s="89" t="s">
        <v>5120</v>
      </c>
      <c r="K534" s="89" t="s">
        <v>5121</v>
      </c>
      <c r="L534" s="89" t="s">
        <v>5122</v>
      </c>
    </row>
    <row r="535" spans="2:27" ht="30">
      <c r="D535" s="91"/>
      <c r="E535" s="55" t="s">
        <v>5388</v>
      </c>
      <c r="F535" s="55" t="s">
        <v>5393</v>
      </c>
      <c r="G535" s="55" t="s">
        <v>5395</v>
      </c>
      <c r="H535" s="55" t="s">
        <v>5396</v>
      </c>
      <c r="I535" s="91"/>
      <c r="J535" s="91"/>
      <c r="K535" s="91"/>
      <c r="L535" s="91"/>
    </row>
    <row r="536" spans="2:27">
      <c r="D536" s="45" t="s">
        <v>4038</v>
      </c>
      <c r="E536" s="45" t="s">
        <v>4039</v>
      </c>
      <c r="F536" s="45" t="s">
        <v>4040</v>
      </c>
      <c r="G536" s="45" t="s">
        <v>4042</v>
      </c>
      <c r="H536" s="45" t="s">
        <v>4044</v>
      </c>
      <c r="I536" s="45" t="s">
        <v>4045</v>
      </c>
      <c r="J536" s="45" t="s">
        <v>5443</v>
      </c>
      <c r="K536" s="45" t="s">
        <v>5444</v>
      </c>
      <c r="L536" s="45" t="s">
        <v>4047</v>
      </c>
      <c r="Z536" s="13" t="str">
        <f>Show!$B$156&amp;"S.27.01.01.21 Rows {"&amp;COLUMN($C$1)&amp;"}"&amp;"@ForceFilingCode:true"</f>
        <v>!S.27.01.01.21 Rows {3}@ForceFilingCode:true</v>
      </c>
      <c r="AA536" s="13" t="str">
        <f>Show!$B$156&amp;"S.27.01.01.21 Columns {"&amp;COLUMN($D$1)&amp;"}"</f>
        <v>!S.27.01.01.21 Columns {4}</v>
      </c>
    </row>
    <row r="537" spans="2:27">
      <c r="B537" s="43" t="s">
        <v>2880</v>
      </c>
      <c r="C537" s="44" t="s">
        <v>2878</v>
      </c>
      <c r="D537" s="58"/>
      <c r="E537" s="67"/>
      <c r="F537" s="67"/>
      <c r="G537" s="67"/>
      <c r="H537" s="67"/>
      <c r="I537" s="67"/>
      <c r="J537" s="67"/>
      <c r="K537" s="67"/>
      <c r="L537" s="59"/>
    </row>
    <row r="538" spans="2:27">
      <c r="B538" s="47" t="s">
        <v>5445</v>
      </c>
      <c r="C538" s="44" t="s">
        <v>2878</v>
      </c>
      <c r="D538" s="56"/>
      <c r="E538" s="66"/>
      <c r="F538" s="66"/>
      <c r="G538" s="66"/>
      <c r="H538" s="66"/>
      <c r="I538" s="66"/>
      <c r="J538" s="66"/>
      <c r="K538" s="66"/>
      <c r="L538" s="57"/>
    </row>
    <row r="539" spans="2:27">
      <c r="B539" s="49" t="s">
        <v>5124</v>
      </c>
      <c r="C539" s="41" t="s">
        <v>5446</v>
      </c>
      <c r="D539" s="50"/>
      <c r="E539" s="60"/>
      <c r="F539" s="60"/>
      <c r="G539" s="60"/>
      <c r="H539" s="60"/>
      <c r="I539" s="60"/>
      <c r="J539" s="60"/>
      <c r="K539" s="60"/>
      <c r="L539" s="60"/>
    </row>
    <row r="540" spans="2:27">
      <c r="B540" s="49" t="s">
        <v>5125</v>
      </c>
      <c r="C540" s="41" t="s">
        <v>5447</v>
      </c>
      <c r="D540" s="50"/>
      <c r="E540" s="60"/>
      <c r="F540" s="60"/>
      <c r="G540" s="60"/>
      <c r="H540" s="60"/>
      <c r="I540" s="60"/>
      <c r="J540" s="60"/>
      <c r="K540" s="60"/>
      <c r="L540" s="60"/>
    </row>
    <row r="541" spans="2:27">
      <c r="B541" s="49" t="s">
        <v>5174</v>
      </c>
      <c r="C541" s="41" t="s">
        <v>5448</v>
      </c>
      <c r="D541" s="50"/>
      <c r="E541" s="60"/>
      <c r="F541" s="60"/>
      <c r="G541" s="60"/>
      <c r="H541" s="60"/>
      <c r="I541" s="60"/>
      <c r="J541" s="60"/>
      <c r="K541" s="60"/>
      <c r="L541" s="60"/>
    </row>
    <row r="542" spans="2:27">
      <c r="B542" s="49" t="s">
        <v>5175</v>
      </c>
      <c r="C542" s="41" t="s">
        <v>5449</v>
      </c>
      <c r="D542" s="50"/>
      <c r="E542" s="60"/>
      <c r="F542" s="60"/>
      <c r="G542" s="60"/>
      <c r="H542" s="60"/>
      <c r="I542" s="60"/>
      <c r="J542" s="60"/>
      <c r="K542" s="60"/>
      <c r="L542" s="60"/>
    </row>
    <row r="543" spans="2:27">
      <c r="B543" s="49" t="s">
        <v>5176</v>
      </c>
      <c r="C543" s="41" t="s">
        <v>5450</v>
      </c>
      <c r="D543" s="50"/>
      <c r="E543" s="60"/>
      <c r="F543" s="60"/>
      <c r="G543" s="60"/>
      <c r="H543" s="60"/>
      <c r="I543" s="60"/>
      <c r="J543" s="60"/>
      <c r="K543" s="60"/>
      <c r="L543" s="60"/>
    </row>
    <row r="544" spans="2:27">
      <c r="B544" s="49" t="s">
        <v>5126</v>
      </c>
      <c r="C544" s="41" t="s">
        <v>5451</v>
      </c>
      <c r="D544" s="50"/>
      <c r="E544" s="60"/>
      <c r="F544" s="60"/>
      <c r="G544" s="60"/>
      <c r="H544" s="60"/>
      <c r="I544" s="60"/>
      <c r="J544" s="60"/>
      <c r="K544" s="60"/>
      <c r="L544" s="60"/>
    </row>
    <row r="545" spans="2:12">
      <c r="B545" s="49" t="s">
        <v>5128</v>
      </c>
      <c r="C545" s="41" t="s">
        <v>5452</v>
      </c>
      <c r="D545" s="50"/>
      <c r="E545" s="60"/>
      <c r="F545" s="60"/>
      <c r="G545" s="60"/>
      <c r="H545" s="60"/>
      <c r="I545" s="60"/>
      <c r="J545" s="60"/>
      <c r="K545" s="60"/>
      <c r="L545" s="60"/>
    </row>
    <row r="546" spans="2:12">
      <c r="B546" s="49" t="s">
        <v>5405</v>
      </c>
      <c r="C546" s="41" t="s">
        <v>5453</v>
      </c>
      <c r="D546" s="50"/>
      <c r="E546" s="60"/>
      <c r="F546" s="60"/>
      <c r="G546" s="60"/>
      <c r="H546" s="60"/>
      <c r="I546" s="60"/>
      <c r="J546" s="60"/>
      <c r="K546" s="60"/>
      <c r="L546" s="60"/>
    </row>
    <row r="547" spans="2:12">
      <c r="B547" s="49" t="s">
        <v>5140</v>
      </c>
      <c r="C547" s="41" t="s">
        <v>5454</v>
      </c>
      <c r="D547" s="50"/>
      <c r="E547" s="60"/>
      <c r="F547" s="60"/>
      <c r="G547" s="60"/>
      <c r="H547" s="60"/>
      <c r="I547" s="60"/>
      <c r="J547" s="60"/>
      <c r="K547" s="60"/>
      <c r="L547" s="60"/>
    </row>
    <row r="548" spans="2:12">
      <c r="B548" s="49" t="s">
        <v>5455</v>
      </c>
      <c r="C548" s="41" t="s">
        <v>5456</v>
      </c>
      <c r="D548" s="50"/>
      <c r="E548" s="60"/>
      <c r="F548" s="60"/>
      <c r="G548" s="60"/>
      <c r="H548" s="60"/>
      <c r="I548" s="60"/>
      <c r="J548" s="60"/>
      <c r="K548" s="60"/>
      <c r="L548" s="60"/>
    </row>
    <row r="549" spans="2:12">
      <c r="B549" s="49" t="s">
        <v>5177</v>
      </c>
      <c r="C549" s="41" t="s">
        <v>5457</v>
      </c>
      <c r="D549" s="50"/>
      <c r="E549" s="60"/>
      <c r="F549" s="60"/>
      <c r="G549" s="60"/>
      <c r="H549" s="60"/>
      <c r="I549" s="60"/>
      <c r="J549" s="60"/>
      <c r="K549" s="60"/>
      <c r="L549" s="60"/>
    </row>
    <row r="550" spans="2:12">
      <c r="B550" s="49" t="s">
        <v>5132</v>
      </c>
      <c r="C550" s="41" t="s">
        <v>5458</v>
      </c>
      <c r="D550" s="50"/>
      <c r="E550" s="60"/>
      <c r="F550" s="60"/>
      <c r="G550" s="60"/>
      <c r="H550" s="60"/>
      <c r="I550" s="60"/>
      <c r="J550" s="60"/>
      <c r="K550" s="60"/>
      <c r="L550" s="60"/>
    </row>
    <row r="551" spans="2:12">
      <c r="B551" s="49" t="s">
        <v>5133</v>
      </c>
      <c r="C551" s="41" t="s">
        <v>5459</v>
      </c>
      <c r="D551" s="50"/>
      <c r="E551" s="60"/>
      <c r="F551" s="60"/>
      <c r="G551" s="60"/>
      <c r="H551" s="60"/>
      <c r="I551" s="60"/>
      <c r="J551" s="60"/>
      <c r="K551" s="60"/>
      <c r="L551" s="60"/>
    </row>
    <row r="552" spans="2:12">
      <c r="B552" s="49" t="s">
        <v>5134</v>
      </c>
      <c r="C552" s="41" t="s">
        <v>5460</v>
      </c>
      <c r="D552" s="50"/>
      <c r="E552" s="60"/>
      <c r="F552" s="60"/>
      <c r="G552" s="60"/>
      <c r="H552" s="60"/>
      <c r="I552" s="60"/>
      <c r="J552" s="60"/>
      <c r="K552" s="60"/>
      <c r="L552" s="60"/>
    </row>
    <row r="553" spans="2:12">
      <c r="B553" s="49" t="s">
        <v>5135</v>
      </c>
      <c r="C553" s="41" t="s">
        <v>5461</v>
      </c>
      <c r="D553" s="50"/>
      <c r="E553" s="60"/>
      <c r="F553" s="60"/>
      <c r="G553" s="60"/>
      <c r="H553" s="60"/>
      <c r="I553" s="60"/>
      <c r="J553" s="60"/>
      <c r="K553" s="60"/>
      <c r="L553" s="60"/>
    </row>
    <row r="554" spans="2:12">
      <c r="B554" s="49" t="s">
        <v>5462</v>
      </c>
      <c r="C554" s="41" t="s">
        <v>5463</v>
      </c>
      <c r="D554" s="50"/>
      <c r="E554" s="60"/>
      <c r="F554" s="60"/>
      <c r="G554" s="60"/>
      <c r="H554" s="60"/>
      <c r="I554" s="60"/>
      <c r="J554" s="60"/>
      <c r="K554" s="60"/>
      <c r="L554" s="60"/>
    </row>
    <row r="555" spans="2:12">
      <c r="B555" s="49" t="s">
        <v>5416</v>
      </c>
      <c r="C555" s="41" t="s">
        <v>5464</v>
      </c>
      <c r="D555" s="50"/>
      <c r="E555" s="60"/>
      <c r="F555" s="60"/>
      <c r="G555" s="60"/>
      <c r="H555" s="60"/>
      <c r="I555" s="60"/>
      <c r="J555" s="60"/>
      <c r="K555" s="60"/>
      <c r="L555" s="60"/>
    </row>
    <row r="556" spans="2:12">
      <c r="B556" s="49" t="s">
        <v>5418</v>
      </c>
      <c r="C556" s="41" t="s">
        <v>5465</v>
      </c>
      <c r="D556" s="50"/>
      <c r="E556" s="60"/>
      <c r="F556" s="60"/>
      <c r="G556" s="60"/>
      <c r="H556" s="60"/>
      <c r="I556" s="60"/>
      <c r="J556" s="60"/>
      <c r="K556" s="60"/>
      <c r="L556" s="60"/>
    </row>
    <row r="557" spans="2:12">
      <c r="B557" s="49" t="s">
        <v>5136</v>
      </c>
      <c r="C557" s="41" t="s">
        <v>5466</v>
      </c>
      <c r="D557" s="50"/>
      <c r="E557" s="60"/>
      <c r="F557" s="60"/>
      <c r="G557" s="60"/>
      <c r="H557" s="60"/>
      <c r="I557" s="60"/>
      <c r="J557" s="60"/>
      <c r="K557" s="60"/>
      <c r="L557" s="60"/>
    </row>
    <row r="558" spans="2:12">
      <c r="B558" s="49" t="s">
        <v>5179</v>
      </c>
      <c r="C558" s="41" t="s">
        <v>5467</v>
      </c>
      <c r="D558" s="50"/>
      <c r="E558" s="60"/>
      <c r="F558" s="60"/>
      <c r="G558" s="60"/>
      <c r="H558" s="60"/>
      <c r="I558" s="60"/>
      <c r="J558" s="60"/>
      <c r="K558" s="60"/>
      <c r="L558" s="60"/>
    </row>
    <row r="559" spans="2:12">
      <c r="B559" s="49" t="s">
        <v>5137</v>
      </c>
      <c r="C559" s="41" t="s">
        <v>5468</v>
      </c>
      <c r="D559" s="50"/>
      <c r="E559" s="60"/>
      <c r="F559" s="60"/>
      <c r="G559" s="60"/>
      <c r="H559" s="60"/>
      <c r="I559" s="60"/>
      <c r="J559" s="60"/>
      <c r="K559" s="60"/>
      <c r="L559" s="60"/>
    </row>
    <row r="560" spans="2:12">
      <c r="B560" s="49" t="s">
        <v>5138</v>
      </c>
      <c r="C560" s="41" t="s">
        <v>5469</v>
      </c>
      <c r="D560" s="50"/>
      <c r="E560" s="60"/>
      <c r="F560" s="60"/>
      <c r="G560" s="60"/>
      <c r="H560" s="60"/>
      <c r="I560" s="60"/>
      <c r="J560" s="60"/>
      <c r="K560" s="60"/>
      <c r="L560" s="60"/>
    </row>
    <row r="561" spans="2:27">
      <c r="B561" s="49" t="s">
        <v>5139</v>
      </c>
      <c r="C561" s="41" t="s">
        <v>5470</v>
      </c>
      <c r="D561" s="50"/>
      <c r="E561" s="60"/>
      <c r="F561" s="60"/>
      <c r="G561" s="60"/>
      <c r="H561" s="60"/>
      <c r="I561" s="60"/>
      <c r="J561" s="60"/>
      <c r="K561" s="60"/>
      <c r="L561" s="60"/>
    </row>
    <row r="562" spans="2:27">
      <c r="B562" s="49" t="s">
        <v>5180</v>
      </c>
      <c r="C562" s="41" t="s">
        <v>5471</v>
      </c>
      <c r="D562" s="50"/>
      <c r="E562" s="60"/>
      <c r="F562" s="60"/>
      <c r="G562" s="60"/>
      <c r="H562" s="60"/>
      <c r="I562" s="60"/>
      <c r="J562" s="60"/>
      <c r="K562" s="60"/>
      <c r="L562" s="60"/>
    </row>
    <row r="563" spans="2:27">
      <c r="B563" s="49" t="s">
        <v>5181</v>
      </c>
      <c r="C563" s="41" t="s">
        <v>5472</v>
      </c>
      <c r="D563" s="50"/>
      <c r="E563" s="60"/>
      <c r="F563" s="60"/>
      <c r="G563" s="60"/>
      <c r="H563" s="60"/>
      <c r="I563" s="60"/>
      <c r="J563" s="60"/>
      <c r="K563" s="60"/>
      <c r="L563" s="60"/>
    </row>
    <row r="564" spans="2:27">
      <c r="B564" s="49" t="s">
        <v>5182</v>
      </c>
      <c r="C564" s="41" t="s">
        <v>5473</v>
      </c>
      <c r="D564" s="50"/>
      <c r="E564" s="60"/>
      <c r="F564" s="60"/>
      <c r="G564" s="60"/>
      <c r="H564" s="60"/>
      <c r="I564" s="60"/>
      <c r="J564" s="60"/>
      <c r="K564" s="60"/>
      <c r="L564" s="60"/>
    </row>
    <row r="565" spans="2:27">
      <c r="B565" s="49" t="s">
        <v>5129</v>
      </c>
      <c r="C565" s="41" t="s">
        <v>5474</v>
      </c>
      <c r="D565" s="50"/>
      <c r="E565" s="60"/>
      <c r="F565" s="60"/>
      <c r="G565" s="60"/>
      <c r="H565" s="60"/>
      <c r="I565" s="60"/>
      <c r="J565" s="60"/>
      <c r="K565" s="60"/>
      <c r="L565" s="60"/>
    </row>
    <row r="566" spans="2:27">
      <c r="B566" s="49" t="s">
        <v>5142</v>
      </c>
      <c r="C566" s="41" t="s">
        <v>5475</v>
      </c>
      <c r="D566" s="50"/>
      <c r="E566" s="60"/>
      <c r="F566" s="60"/>
      <c r="G566" s="60"/>
      <c r="H566" s="60"/>
      <c r="I566" s="60"/>
      <c r="J566" s="60"/>
      <c r="K566" s="60"/>
      <c r="L566" s="60"/>
    </row>
    <row r="567" spans="2:27">
      <c r="B567" s="49" t="s">
        <v>5143</v>
      </c>
      <c r="C567" s="41" t="s">
        <v>5476</v>
      </c>
      <c r="D567" s="50"/>
      <c r="E567" s="60"/>
      <c r="F567" s="60"/>
      <c r="G567" s="60"/>
      <c r="H567" s="60"/>
      <c r="I567" s="60"/>
      <c r="J567" s="60"/>
      <c r="K567" s="60"/>
      <c r="L567" s="60"/>
    </row>
    <row r="568" spans="2:27">
      <c r="B568" s="49" t="s">
        <v>5431</v>
      </c>
      <c r="C568" s="41" t="s">
        <v>5477</v>
      </c>
      <c r="D568" s="50"/>
      <c r="E568" s="60"/>
      <c r="F568" s="60"/>
      <c r="G568" s="60"/>
      <c r="H568" s="60"/>
      <c r="I568" s="60"/>
      <c r="J568" s="60"/>
      <c r="K568" s="60"/>
      <c r="L568" s="60"/>
    </row>
    <row r="569" spans="2:27">
      <c r="B569" s="49" t="s">
        <v>5144</v>
      </c>
      <c r="C569" s="41" t="s">
        <v>5478</v>
      </c>
      <c r="D569" s="50"/>
      <c r="E569" s="60"/>
      <c r="F569" s="60"/>
      <c r="G569" s="60"/>
      <c r="H569" s="60"/>
      <c r="I569" s="60"/>
      <c r="J569" s="60"/>
      <c r="K569" s="60"/>
      <c r="L569" s="60"/>
    </row>
    <row r="571" spans="2:27">
      <c r="Z571" s="13" t="str">
        <f>Show!$B$156&amp;Show!$B$156&amp;"S.27.01.01.21 Rows {"&amp;COLUMN($C$1)&amp;"}"</f>
        <v>!!S.27.01.01.21 Rows {3}</v>
      </c>
      <c r="AA571" s="13" t="str">
        <f>Show!$B$156&amp;Show!$B$156&amp;"S.27.01.01.21 Columns {"&amp;COLUMN($L$1)&amp;"}"</f>
        <v>!!S.27.01.01.21 Columns {12}</v>
      </c>
    </row>
    <row r="573" spans="2:27" ht="18.75">
      <c r="B573" s="88" t="s">
        <v>5479</v>
      </c>
      <c r="C573" s="87"/>
      <c r="D573" s="87"/>
      <c r="E573" s="87"/>
      <c r="F573" s="87"/>
      <c r="G573" s="87"/>
      <c r="H573" s="87"/>
      <c r="I573" s="87"/>
      <c r="J573" s="87"/>
      <c r="K573" s="87"/>
      <c r="L573" s="87"/>
    </row>
    <row r="577" spans="2:27">
      <c r="D577" s="92" t="s">
        <v>2877</v>
      </c>
      <c r="E577" s="93"/>
      <c r="F577" s="93"/>
      <c r="G577" s="93"/>
      <c r="H577" s="93"/>
      <c r="I577" s="93"/>
      <c r="J577" s="93"/>
      <c r="K577" s="93"/>
      <c r="L577" s="93"/>
      <c r="M577" s="93"/>
      <c r="N577" s="93"/>
      <c r="O577" s="93"/>
      <c r="P577" s="94"/>
    </row>
    <row r="578" spans="2:27">
      <c r="D578" s="95"/>
      <c r="E578" s="96"/>
      <c r="F578" s="96"/>
      <c r="G578" s="96"/>
      <c r="H578" s="96"/>
      <c r="I578" s="96"/>
      <c r="J578" s="96"/>
      <c r="K578" s="96"/>
      <c r="L578" s="96"/>
      <c r="M578" s="96"/>
      <c r="N578" s="96"/>
      <c r="O578" s="96"/>
      <c r="P578" s="97"/>
    </row>
    <row r="579" spans="2:27">
      <c r="D579" s="98" t="s">
        <v>4916</v>
      </c>
      <c r="E579" s="99"/>
      <c r="F579" s="98" t="s">
        <v>4913</v>
      </c>
      <c r="G579" s="100"/>
      <c r="H579" s="100"/>
      <c r="I579" s="100"/>
      <c r="J579" s="100"/>
      <c r="K579" s="100"/>
      <c r="L579" s="99"/>
      <c r="M579" s="89" t="s">
        <v>5119</v>
      </c>
      <c r="N579" s="89" t="s">
        <v>5120</v>
      </c>
      <c r="O579" s="89" t="s">
        <v>5121</v>
      </c>
      <c r="P579" s="89" t="s">
        <v>5122</v>
      </c>
    </row>
    <row r="580" spans="2:27" ht="60">
      <c r="D580" s="55" t="s">
        <v>5480</v>
      </c>
      <c r="E580" s="55" t="s">
        <v>5481</v>
      </c>
      <c r="F580" s="55" t="s">
        <v>5482</v>
      </c>
      <c r="G580" s="55" t="s">
        <v>5483</v>
      </c>
      <c r="H580" s="55" t="s">
        <v>5484</v>
      </c>
      <c r="I580" s="55" t="s">
        <v>5485</v>
      </c>
      <c r="J580" s="55" t="s">
        <v>5486</v>
      </c>
      <c r="K580" s="55" t="s">
        <v>5487</v>
      </c>
      <c r="L580" s="55" t="s">
        <v>5488</v>
      </c>
      <c r="M580" s="91"/>
      <c r="N580" s="91"/>
      <c r="O580" s="91"/>
      <c r="P580" s="91"/>
    </row>
    <row r="581" spans="2:27">
      <c r="D581" s="45" t="s">
        <v>4049</v>
      </c>
      <c r="E581" s="45" t="s">
        <v>4050</v>
      </c>
      <c r="F581" s="45" t="s">
        <v>4051</v>
      </c>
      <c r="G581" s="45" t="s">
        <v>4052</v>
      </c>
      <c r="H581" s="45" t="s">
        <v>4053</v>
      </c>
      <c r="I581" s="45" t="s">
        <v>4054</v>
      </c>
      <c r="J581" s="45" t="s">
        <v>4055</v>
      </c>
      <c r="K581" s="45" t="s">
        <v>4056</v>
      </c>
      <c r="L581" s="45" t="s">
        <v>4057</v>
      </c>
      <c r="M581" s="45" t="s">
        <v>4058</v>
      </c>
      <c r="N581" s="45" t="s">
        <v>4059</v>
      </c>
      <c r="O581" s="45" t="s">
        <v>4060</v>
      </c>
      <c r="P581" s="45" t="s">
        <v>4061</v>
      </c>
      <c r="Z581" s="13" t="str">
        <f>Show!$B$156&amp;"S.27.01.01.22 Rows {"&amp;COLUMN($C$1)&amp;"}"&amp;"@ForceFilingCode:true"</f>
        <v>!S.27.01.01.22 Rows {3}@ForceFilingCode:true</v>
      </c>
      <c r="AA581" s="13" t="str">
        <f>Show!$B$156&amp;"S.27.01.01.22 Columns {"&amp;COLUMN($D$1)&amp;"}"</f>
        <v>!S.27.01.01.22 Columns {4}</v>
      </c>
    </row>
    <row r="582" spans="2:27">
      <c r="B582" s="43" t="s">
        <v>2880</v>
      </c>
      <c r="C582" s="44" t="s">
        <v>2878</v>
      </c>
      <c r="D582" s="58"/>
      <c r="E582" s="67"/>
      <c r="F582" s="67"/>
      <c r="G582" s="67"/>
      <c r="H582" s="67"/>
      <c r="I582" s="67"/>
      <c r="J582" s="67"/>
      <c r="K582" s="67"/>
      <c r="L582" s="67"/>
      <c r="M582" s="67"/>
      <c r="N582" s="67"/>
      <c r="O582" s="67"/>
      <c r="P582" s="59"/>
    </row>
    <row r="583" spans="2:27">
      <c r="B583" s="47" t="s">
        <v>5489</v>
      </c>
      <c r="C583" s="44" t="s">
        <v>2878</v>
      </c>
      <c r="D583" s="58"/>
      <c r="E583" s="67"/>
      <c r="F583" s="66"/>
      <c r="G583" s="66"/>
      <c r="H583" s="66"/>
      <c r="I583" s="66"/>
      <c r="J583" s="66"/>
      <c r="K583" s="66"/>
      <c r="L583" s="66"/>
      <c r="M583" s="66"/>
      <c r="N583" s="67"/>
      <c r="O583" s="67"/>
      <c r="P583" s="59"/>
    </row>
    <row r="584" spans="2:27">
      <c r="B584" s="49" t="s">
        <v>5124</v>
      </c>
      <c r="C584" s="44" t="s">
        <v>5490</v>
      </c>
      <c r="D584" s="58"/>
      <c r="E584" s="48"/>
      <c r="F584" s="50"/>
      <c r="G584" s="60"/>
      <c r="H584" s="70"/>
      <c r="I584" s="60"/>
      <c r="J584" s="70"/>
      <c r="K584" s="60"/>
      <c r="L584" s="70"/>
      <c r="M584" s="64"/>
      <c r="N584" s="58"/>
      <c r="O584" s="58"/>
      <c r="P584" s="48"/>
    </row>
    <row r="585" spans="2:27">
      <c r="B585" s="49" t="s">
        <v>5125</v>
      </c>
      <c r="C585" s="44" t="s">
        <v>5491</v>
      </c>
      <c r="D585" s="58"/>
      <c r="E585" s="48"/>
      <c r="F585" s="50"/>
      <c r="G585" s="60"/>
      <c r="H585" s="70"/>
      <c r="I585" s="60"/>
      <c r="J585" s="70"/>
      <c r="K585" s="60"/>
      <c r="L585" s="70"/>
      <c r="M585" s="64"/>
      <c r="N585" s="58"/>
      <c r="O585" s="58"/>
      <c r="P585" s="48"/>
    </row>
    <row r="586" spans="2:27">
      <c r="B586" s="49" t="s">
        <v>5174</v>
      </c>
      <c r="C586" s="44" t="s">
        <v>5492</v>
      </c>
      <c r="D586" s="58"/>
      <c r="E586" s="48"/>
      <c r="F586" s="50"/>
      <c r="G586" s="60"/>
      <c r="H586" s="70"/>
      <c r="I586" s="60"/>
      <c r="J586" s="70"/>
      <c r="K586" s="60"/>
      <c r="L586" s="70"/>
      <c r="M586" s="64"/>
      <c r="N586" s="58"/>
      <c r="O586" s="58"/>
      <c r="P586" s="48"/>
    </row>
    <row r="587" spans="2:27">
      <c r="B587" s="49" t="s">
        <v>5175</v>
      </c>
      <c r="C587" s="44" t="s">
        <v>5493</v>
      </c>
      <c r="D587" s="58"/>
      <c r="E587" s="48"/>
      <c r="F587" s="50"/>
      <c r="G587" s="60"/>
      <c r="H587" s="70"/>
      <c r="I587" s="60"/>
      <c r="J587" s="70"/>
      <c r="K587" s="60"/>
      <c r="L587" s="70"/>
      <c r="M587" s="64"/>
      <c r="N587" s="58"/>
      <c r="O587" s="58"/>
      <c r="P587" s="48"/>
    </row>
    <row r="588" spans="2:27">
      <c r="B588" s="49" t="s">
        <v>5176</v>
      </c>
      <c r="C588" s="44" t="s">
        <v>5494</v>
      </c>
      <c r="D588" s="58"/>
      <c r="E588" s="48"/>
      <c r="F588" s="50"/>
      <c r="G588" s="60"/>
      <c r="H588" s="70"/>
      <c r="I588" s="60"/>
      <c r="J588" s="70"/>
      <c r="K588" s="60"/>
      <c r="L588" s="70"/>
      <c r="M588" s="64"/>
      <c r="N588" s="58"/>
      <c r="O588" s="58"/>
      <c r="P588" s="48"/>
    </row>
    <row r="589" spans="2:27">
      <c r="B589" s="49" t="s">
        <v>5126</v>
      </c>
      <c r="C589" s="44" t="s">
        <v>5495</v>
      </c>
      <c r="D589" s="58"/>
      <c r="E589" s="48"/>
      <c r="F589" s="50"/>
      <c r="G589" s="60"/>
      <c r="H589" s="70"/>
      <c r="I589" s="60"/>
      <c r="J589" s="70"/>
      <c r="K589" s="60"/>
      <c r="L589" s="70"/>
      <c r="M589" s="64"/>
      <c r="N589" s="58"/>
      <c r="O589" s="58"/>
      <c r="P589" s="48"/>
    </row>
    <row r="590" spans="2:27">
      <c r="B590" s="49" t="s">
        <v>5128</v>
      </c>
      <c r="C590" s="44" t="s">
        <v>5496</v>
      </c>
      <c r="D590" s="58"/>
      <c r="E590" s="48"/>
      <c r="F590" s="50"/>
      <c r="G590" s="60"/>
      <c r="H590" s="70"/>
      <c r="I590" s="60"/>
      <c r="J590" s="70"/>
      <c r="K590" s="60"/>
      <c r="L590" s="70"/>
      <c r="M590" s="64"/>
      <c r="N590" s="58"/>
      <c r="O590" s="58"/>
      <c r="P590" s="48"/>
    </row>
    <row r="591" spans="2:27">
      <c r="B591" s="49" t="s">
        <v>5405</v>
      </c>
      <c r="C591" s="44" t="s">
        <v>5497</v>
      </c>
      <c r="D591" s="58"/>
      <c r="E591" s="48"/>
      <c r="F591" s="50"/>
      <c r="G591" s="60"/>
      <c r="H591" s="70"/>
      <c r="I591" s="60"/>
      <c r="J591" s="70"/>
      <c r="K591" s="60"/>
      <c r="L591" s="70"/>
      <c r="M591" s="64"/>
      <c r="N591" s="58"/>
      <c r="O591" s="58"/>
      <c r="P591" s="48"/>
    </row>
    <row r="592" spans="2:27">
      <c r="B592" s="49" t="s">
        <v>5140</v>
      </c>
      <c r="C592" s="44" t="s">
        <v>5498</v>
      </c>
      <c r="D592" s="58"/>
      <c r="E592" s="48"/>
      <c r="F592" s="50"/>
      <c r="G592" s="60"/>
      <c r="H592" s="70"/>
      <c r="I592" s="60"/>
      <c r="J592" s="70"/>
      <c r="K592" s="60"/>
      <c r="L592" s="70"/>
      <c r="M592" s="64"/>
      <c r="N592" s="58"/>
      <c r="O592" s="58"/>
      <c r="P592" s="48"/>
    </row>
    <row r="593" spans="2:16">
      <c r="B593" s="49" t="s">
        <v>5455</v>
      </c>
      <c r="C593" s="44" t="s">
        <v>5499</v>
      </c>
      <c r="D593" s="58"/>
      <c r="E593" s="48"/>
      <c r="F593" s="50"/>
      <c r="G593" s="60"/>
      <c r="H593" s="70"/>
      <c r="I593" s="60"/>
      <c r="J593" s="70"/>
      <c r="K593" s="60"/>
      <c r="L593" s="70"/>
      <c r="M593" s="64"/>
      <c r="N593" s="58"/>
      <c r="O593" s="58"/>
      <c r="P593" s="48"/>
    </row>
    <row r="594" spans="2:16">
      <c r="B594" s="49" t="s">
        <v>5177</v>
      </c>
      <c r="C594" s="44" t="s">
        <v>5500</v>
      </c>
      <c r="D594" s="58"/>
      <c r="E594" s="48"/>
      <c r="F594" s="50"/>
      <c r="G594" s="60"/>
      <c r="H594" s="70"/>
      <c r="I594" s="60"/>
      <c r="J594" s="70"/>
      <c r="K594" s="60"/>
      <c r="L594" s="70"/>
      <c r="M594" s="64"/>
      <c r="N594" s="58"/>
      <c r="O594" s="58"/>
      <c r="P594" s="48"/>
    </row>
    <row r="595" spans="2:16">
      <c r="B595" s="49" t="s">
        <v>5132</v>
      </c>
      <c r="C595" s="44" t="s">
        <v>5501</v>
      </c>
      <c r="D595" s="58"/>
      <c r="E595" s="48"/>
      <c r="F595" s="50"/>
      <c r="G595" s="60"/>
      <c r="H595" s="70"/>
      <c r="I595" s="60"/>
      <c r="J595" s="70"/>
      <c r="K595" s="60"/>
      <c r="L595" s="70"/>
      <c r="M595" s="64"/>
      <c r="N595" s="58"/>
      <c r="O595" s="58"/>
      <c r="P595" s="48"/>
    </row>
    <row r="596" spans="2:16">
      <c r="B596" s="49" t="s">
        <v>5133</v>
      </c>
      <c r="C596" s="44" t="s">
        <v>5502</v>
      </c>
      <c r="D596" s="58"/>
      <c r="E596" s="48"/>
      <c r="F596" s="50"/>
      <c r="G596" s="60"/>
      <c r="H596" s="70"/>
      <c r="I596" s="60"/>
      <c r="J596" s="70"/>
      <c r="K596" s="60"/>
      <c r="L596" s="70"/>
      <c r="M596" s="64"/>
      <c r="N596" s="58"/>
      <c r="O596" s="58"/>
      <c r="P596" s="48"/>
    </row>
    <row r="597" spans="2:16">
      <c r="B597" s="49" t="s">
        <v>5134</v>
      </c>
      <c r="C597" s="44" t="s">
        <v>5503</v>
      </c>
      <c r="D597" s="58"/>
      <c r="E597" s="48"/>
      <c r="F597" s="50"/>
      <c r="G597" s="60"/>
      <c r="H597" s="70"/>
      <c r="I597" s="60"/>
      <c r="J597" s="70"/>
      <c r="K597" s="60"/>
      <c r="L597" s="70"/>
      <c r="M597" s="64"/>
      <c r="N597" s="58"/>
      <c r="O597" s="58"/>
      <c r="P597" s="48"/>
    </row>
    <row r="598" spans="2:16">
      <c r="B598" s="49" t="s">
        <v>5135</v>
      </c>
      <c r="C598" s="44" t="s">
        <v>5504</v>
      </c>
      <c r="D598" s="58"/>
      <c r="E598" s="48"/>
      <c r="F598" s="50"/>
      <c r="G598" s="60"/>
      <c r="H598" s="70"/>
      <c r="I598" s="60"/>
      <c r="J598" s="70"/>
      <c r="K598" s="60"/>
      <c r="L598" s="70"/>
      <c r="M598" s="64"/>
      <c r="N598" s="58"/>
      <c r="O598" s="58"/>
      <c r="P598" s="48"/>
    </row>
    <row r="599" spans="2:16">
      <c r="B599" s="49" t="s">
        <v>5462</v>
      </c>
      <c r="C599" s="44" t="s">
        <v>5505</v>
      </c>
      <c r="D599" s="58"/>
      <c r="E599" s="48"/>
      <c r="F599" s="50"/>
      <c r="G599" s="60"/>
      <c r="H599" s="70"/>
      <c r="I599" s="60"/>
      <c r="J599" s="70"/>
      <c r="K599" s="60"/>
      <c r="L599" s="70"/>
      <c r="M599" s="64"/>
      <c r="N599" s="58"/>
      <c r="O599" s="58"/>
      <c r="P599" s="48"/>
    </row>
    <row r="600" spans="2:16">
      <c r="B600" s="49" t="s">
        <v>5416</v>
      </c>
      <c r="C600" s="44" t="s">
        <v>5506</v>
      </c>
      <c r="D600" s="58"/>
      <c r="E600" s="48"/>
      <c r="F600" s="50"/>
      <c r="G600" s="60"/>
      <c r="H600" s="70"/>
      <c r="I600" s="60"/>
      <c r="J600" s="70"/>
      <c r="K600" s="60"/>
      <c r="L600" s="70"/>
      <c r="M600" s="64"/>
      <c r="N600" s="58"/>
      <c r="O600" s="58"/>
      <c r="P600" s="48"/>
    </row>
    <row r="601" spans="2:16">
      <c r="B601" s="49" t="s">
        <v>5418</v>
      </c>
      <c r="C601" s="44" t="s">
        <v>5507</v>
      </c>
      <c r="D601" s="58"/>
      <c r="E601" s="48"/>
      <c r="F601" s="50"/>
      <c r="G601" s="60"/>
      <c r="H601" s="70"/>
      <c r="I601" s="60"/>
      <c r="J601" s="70"/>
      <c r="K601" s="60"/>
      <c r="L601" s="70"/>
      <c r="M601" s="64"/>
      <c r="N601" s="58"/>
      <c r="O601" s="58"/>
      <c r="P601" s="48"/>
    </row>
    <row r="602" spans="2:16">
      <c r="B602" s="49" t="s">
        <v>5136</v>
      </c>
      <c r="C602" s="44" t="s">
        <v>5508</v>
      </c>
      <c r="D602" s="58"/>
      <c r="E602" s="48"/>
      <c r="F602" s="50"/>
      <c r="G602" s="60"/>
      <c r="H602" s="70"/>
      <c r="I602" s="60"/>
      <c r="J602" s="70"/>
      <c r="K602" s="60"/>
      <c r="L602" s="70"/>
      <c r="M602" s="64"/>
      <c r="N602" s="58"/>
      <c r="O602" s="58"/>
      <c r="P602" s="48"/>
    </row>
    <row r="603" spans="2:16">
      <c r="B603" s="49" t="s">
        <v>5179</v>
      </c>
      <c r="C603" s="44" t="s">
        <v>5509</v>
      </c>
      <c r="D603" s="58"/>
      <c r="E603" s="48"/>
      <c r="F603" s="50"/>
      <c r="G603" s="60"/>
      <c r="H603" s="70"/>
      <c r="I603" s="60"/>
      <c r="J603" s="70"/>
      <c r="K603" s="60"/>
      <c r="L603" s="70"/>
      <c r="M603" s="64"/>
      <c r="N603" s="58"/>
      <c r="O603" s="58"/>
      <c r="P603" s="48"/>
    </row>
    <row r="604" spans="2:16">
      <c r="B604" s="49" t="s">
        <v>5137</v>
      </c>
      <c r="C604" s="44" t="s">
        <v>5510</v>
      </c>
      <c r="D604" s="58"/>
      <c r="E604" s="48"/>
      <c r="F604" s="50"/>
      <c r="G604" s="60"/>
      <c r="H604" s="70"/>
      <c r="I604" s="60"/>
      <c r="J604" s="70"/>
      <c r="K604" s="60"/>
      <c r="L604" s="70"/>
      <c r="M604" s="64"/>
      <c r="N604" s="58"/>
      <c r="O604" s="58"/>
      <c r="P604" s="48"/>
    </row>
    <row r="605" spans="2:16">
      <c r="B605" s="49" t="s">
        <v>5138</v>
      </c>
      <c r="C605" s="44" t="s">
        <v>5511</v>
      </c>
      <c r="D605" s="58"/>
      <c r="E605" s="48"/>
      <c r="F605" s="50"/>
      <c r="G605" s="60"/>
      <c r="H605" s="70"/>
      <c r="I605" s="60"/>
      <c r="J605" s="70"/>
      <c r="K605" s="60"/>
      <c r="L605" s="70"/>
      <c r="M605" s="64"/>
      <c r="N605" s="58"/>
      <c r="O605" s="58"/>
      <c r="P605" s="48"/>
    </row>
    <row r="606" spans="2:16">
      <c r="B606" s="49" t="s">
        <v>5139</v>
      </c>
      <c r="C606" s="44" t="s">
        <v>5512</v>
      </c>
      <c r="D606" s="58"/>
      <c r="E606" s="48"/>
      <c r="F606" s="50"/>
      <c r="G606" s="60"/>
      <c r="H606" s="70"/>
      <c r="I606" s="60"/>
      <c r="J606" s="70"/>
      <c r="K606" s="60"/>
      <c r="L606" s="70"/>
      <c r="M606" s="64"/>
      <c r="N606" s="58"/>
      <c r="O606" s="58"/>
      <c r="P606" s="48"/>
    </row>
    <row r="607" spans="2:16">
      <c r="B607" s="49" t="s">
        <v>5180</v>
      </c>
      <c r="C607" s="44" t="s">
        <v>5513</v>
      </c>
      <c r="D607" s="58"/>
      <c r="E607" s="48"/>
      <c r="F607" s="50"/>
      <c r="G607" s="60"/>
      <c r="H607" s="70"/>
      <c r="I607" s="60"/>
      <c r="J607" s="70"/>
      <c r="K607" s="60"/>
      <c r="L607" s="70"/>
      <c r="M607" s="64"/>
      <c r="N607" s="58"/>
      <c r="O607" s="58"/>
      <c r="P607" s="48"/>
    </row>
    <row r="608" spans="2:16">
      <c r="B608" s="49" t="s">
        <v>5181</v>
      </c>
      <c r="C608" s="44" t="s">
        <v>5514</v>
      </c>
      <c r="D608" s="58"/>
      <c r="E608" s="48"/>
      <c r="F608" s="50"/>
      <c r="G608" s="60"/>
      <c r="H608" s="70"/>
      <c r="I608" s="60"/>
      <c r="J608" s="70"/>
      <c r="K608" s="60"/>
      <c r="L608" s="70"/>
      <c r="M608" s="64"/>
      <c r="N608" s="58"/>
      <c r="O608" s="58"/>
      <c r="P608" s="48"/>
    </row>
    <row r="609" spans="2:27">
      <c r="B609" s="49" t="s">
        <v>5182</v>
      </c>
      <c r="C609" s="44" t="s">
        <v>5515</v>
      </c>
      <c r="D609" s="58"/>
      <c r="E609" s="48"/>
      <c r="F609" s="50"/>
      <c r="G609" s="60"/>
      <c r="H609" s="70"/>
      <c r="I609" s="60"/>
      <c r="J609" s="70"/>
      <c r="K609" s="60"/>
      <c r="L609" s="70"/>
      <c r="M609" s="64"/>
      <c r="N609" s="58"/>
      <c r="O609" s="58"/>
      <c r="P609" s="48"/>
    </row>
    <row r="610" spans="2:27">
      <c r="B610" s="49" t="s">
        <v>5129</v>
      </c>
      <c r="C610" s="44" t="s">
        <v>5516</v>
      </c>
      <c r="D610" s="58"/>
      <c r="E610" s="48"/>
      <c r="F610" s="50"/>
      <c r="G610" s="60"/>
      <c r="H610" s="70"/>
      <c r="I610" s="60"/>
      <c r="J610" s="70"/>
      <c r="K610" s="60"/>
      <c r="L610" s="70"/>
      <c r="M610" s="64"/>
      <c r="N610" s="58"/>
      <c r="O610" s="58"/>
      <c r="P610" s="48"/>
    </row>
    <row r="611" spans="2:27">
      <c r="B611" s="49" t="s">
        <v>5142</v>
      </c>
      <c r="C611" s="44" t="s">
        <v>5517</v>
      </c>
      <c r="D611" s="58"/>
      <c r="E611" s="48"/>
      <c r="F611" s="50"/>
      <c r="G611" s="60"/>
      <c r="H611" s="70"/>
      <c r="I611" s="60"/>
      <c r="J611" s="70"/>
      <c r="K611" s="60"/>
      <c r="L611" s="70"/>
      <c r="M611" s="64"/>
      <c r="N611" s="58"/>
      <c r="O611" s="58"/>
      <c r="P611" s="48"/>
    </row>
    <row r="612" spans="2:27">
      <c r="B612" s="49" t="s">
        <v>5143</v>
      </c>
      <c r="C612" s="44" t="s">
        <v>5518</v>
      </c>
      <c r="D612" s="58"/>
      <c r="E612" s="48"/>
      <c r="F612" s="50"/>
      <c r="G612" s="60"/>
      <c r="H612" s="70"/>
      <c r="I612" s="60"/>
      <c r="J612" s="70"/>
      <c r="K612" s="60"/>
      <c r="L612" s="70"/>
      <c r="M612" s="64"/>
      <c r="N612" s="58"/>
      <c r="O612" s="58"/>
      <c r="P612" s="48"/>
    </row>
    <row r="613" spans="2:27">
      <c r="B613" s="49" t="s">
        <v>5431</v>
      </c>
      <c r="C613" s="44" t="s">
        <v>5519</v>
      </c>
      <c r="D613" s="58"/>
      <c r="E613" s="48"/>
      <c r="F613" s="50"/>
      <c r="G613" s="60"/>
      <c r="H613" s="70"/>
      <c r="I613" s="60"/>
      <c r="J613" s="70"/>
      <c r="K613" s="60"/>
      <c r="L613" s="70"/>
      <c r="M613" s="64"/>
      <c r="N613" s="58"/>
      <c r="O613" s="58"/>
      <c r="P613" s="48"/>
    </row>
    <row r="614" spans="2:27">
      <c r="B614" s="49" t="s">
        <v>5144</v>
      </c>
      <c r="C614" s="44" t="s">
        <v>5520</v>
      </c>
      <c r="D614" s="56"/>
      <c r="E614" s="46"/>
      <c r="F614" s="50"/>
      <c r="G614" s="60"/>
      <c r="H614" s="70"/>
      <c r="I614" s="60"/>
      <c r="J614" s="70"/>
      <c r="K614" s="60"/>
      <c r="L614" s="70"/>
      <c r="M614" s="64"/>
      <c r="N614" s="56"/>
      <c r="O614" s="56"/>
      <c r="P614" s="46"/>
    </row>
    <row r="616" spans="2:27">
      <c r="Z616" s="13" t="str">
        <f>Show!$B$156&amp;Show!$B$156&amp;"S.27.01.01.22 Rows {"&amp;COLUMN($C$1)&amp;"}"</f>
        <v>!!S.27.01.01.22 Rows {3}</v>
      </c>
      <c r="AA616" s="13" t="str">
        <f>Show!$B$156&amp;Show!$B$156&amp;"S.27.01.01.22 Columns {"&amp;COLUMN($P$1)&amp;"}"</f>
        <v>!!S.27.01.01.22 Columns {16}</v>
      </c>
    </row>
    <row r="618" spans="2:27" ht="18.75">
      <c r="B618" s="88" t="s">
        <v>5521</v>
      </c>
      <c r="C618" s="87"/>
      <c r="D618" s="87"/>
      <c r="E618" s="87"/>
      <c r="F618" s="87"/>
      <c r="G618" s="87"/>
      <c r="H618" s="87"/>
      <c r="I618" s="87"/>
      <c r="J618" s="87"/>
      <c r="K618" s="87"/>
      <c r="L618" s="87"/>
    </row>
    <row r="622" spans="2:27">
      <c r="D622" s="89" t="s">
        <v>5522</v>
      </c>
      <c r="E622" s="92" t="s">
        <v>2877</v>
      </c>
      <c r="F622" s="93"/>
      <c r="G622" s="93"/>
      <c r="H622" s="93"/>
      <c r="I622" s="93"/>
      <c r="J622" s="93"/>
      <c r="K622" s="93"/>
      <c r="L622" s="93"/>
      <c r="M622" s="94"/>
    </row>
    <row r="623" spans="2:27">
      <c r="D623" s="90"/>
      <c r="E623" s="95"/>
      <c r="F623" s="96"/>
      <c r="G623" s="96"/>
      <c r="H623" s="96"/>
      <c r="I623" s="96"/>
      <c r="J623" s="96"/>
      <c r="K623" s="96"/>
      <c r="L623" s="96"/>
      <c r="M623" s="97"/>
    </row>
    <row r="624" spans="2:27">
      <c r="D624" s="90"/>
      <c r="E624" s="89" t="s">
        <v>5441</v>
      </c>
      <c r="F624" s="98" t="s">
        <v>5442</v>
      </c>
      <c r="G624" s="100"/>
      <c r="H624" s="100"/>
      <c r="I624" s="99"/>
      <c r="J624" s="89" t="s">
        <v>5119</v>
      </c>
      <c r="K624" s="89" t="s">
        <v>5120</v>
      </c>
      <c r="L624" s="89" t="s">
        <v>5121</v>
      </c>
      <c r="M624" s="89" t="s">
        <v>5122</v>
      </c>
    </row>
    <row r="625" spans="2:27" ht="30">
      <c r="D625" s="91"/>
      <c r="E625" s="91"/>
      <c r="F625" s="55" t="s">
        <v>5388</v>
      </c>
      <c r="G625" s="55" t="s">
        <v>5393</v>
      </c>
      <c r="H625" s="55" t="s">
        <v>5395</v>
      </c>
      <c r="I625" s="55" t="s">
        <v>5396</v>
      </c>
      <c r="J625" s="91"/>
      <c r="K625" s="91"/>
      <c r="L625" s="91"/>
      <c r="M625" s="91"/>
    </row>
    <row r="626" spans="2:27">
      <c r="D626" s="45" t="s">
        <v>4048</v>
      </c>
      <c r="E626" s="45" t="s">
        <v>4038</v>
      </c>
      <c r="F626" s="45" t="s">
        <v>4039</v>
      </c>
      <c r="G626" s="45" t="s">
        <v>4040</v>
      </c>
      <c r="H626" s="45" t="s">
        <v>4042</v>
      </c>
      <c r="I626" s="45" t="s">
        <v>4044</v>
      </c>
      <c r="J626" s="45" t="s">
        <v>4045</v>
      </c>
      <c r="K626" s="45" t="s">
        <v>5443</v>
      </c>
      <c r="L626" s="45" t="s">
        <v>5444</v>
      </c>
      <c r="M626" s="45" t="s">
        <v>4047</v>
      </c>
      <c r="Z626" s="13" t="str">
        <f>Show!$B$156&amp;"S.27.01.01.23 Rows {"&amp;COLUMN($C$1)&amp;"}"&amp;"@ForceFilingCode:true"</f>
        <v>!S.27.01.01.23 Rows {3}@ForceFilingCode:true</v>
      </c>
      <c r="AA626" s="13" t="str">
        <f>Show!$B$156&amp;"S.27.01.01.23 Columns {"&amp;COLUMN($D$1)&amp;"}"</f>
        <v>!S.27.01.01.23 Columns {4}</v>
      </c>
    </row>
    <row r="627" spans="2:27">
      <c r="B627" s="43" t="s">
        <v>2880</v>
      </c>
      <c r="C627" s="44" t="s">
        <v>2878</v>
      </c>
      <c r="D627" s="58"/>
      <c r="E627" s="67"/>
      <c r="F627" s="67"/>
      <c r="G627" s="67"/>
      <c r="H627" s="67"/>
      <c r="I627" s="67"/>
      <c r="J627" s="67"/>
      <c r="K627" s="67"/>
      <c r="L627" s="67"/>
      <c r="M627" s="59"/>
    </row>
    <row r="628" spans="2:27">
      <c r="B628" s="47" t="s">
        <v>5445</v>
      </c>
      <c r="C628" s="44" t="s">
        <v>2878</v>
      </c>
      <c r="D628" s="56"/>
      <c r="E628" s="66"/>
      <c r="F628" s="66"/>
      <c r="G628" s="66"/>
      <c r="H628" s="66"/>
      <c r="I628" s="66"/>
      <c r="J628" s="66"/>
      <c r="K628" s="66"/>
      <c r="L628" s="66"/>
      <c r="M628" s="57"/>
    </row>
    <row r="629" spans="2:27">
      <c r="B629" s="49" t="s">
        <v>5523</v>
      </c>
      <c r="C629" s="41" t="s">
        <v>5524</v>
      </c>
      <c r="D629" s="51"/>
      <c r="E629" s="50"/>
      <c r="F629" s="60"/>
      <c r="G629" s="60"/>
      <c r="H629" s="60"/>
      <c r="I629" s="60"/>
      <c r="J629" s="60"/>
      <c r="K629" s="60"/>
      <c r="L629" s="60"/>
      <c r="M629" s="60"/>
    </row>
    <row r="631" spans="2:27">
      <c r="Z631" s="13" t="str">
        <f>Show!$B$156&amp;Show!$B$156&amp;"S.27.01.01.23 Rows {"&amp;COLUMN($C$1)&amp;"}"</f>
        <v>!!S.27.01.01.23 Rows {3}</v>
      </c>
      <c r="AA631" s="13" t="str">
        <f>Show!$B$156&amp;Show!$B$156&amp;"S.27.01.01.23 Columns {"&amp;COLUMN($M$1)&amp;"}"</f>
        <v>!!S.27.01.01.23 Columns {13}</v>
      </c>
    </row>
    <row r="633" spans="2:27" ht="18.75">
      <c r="B633" s="88" t="s">
        <v>5525</v>
      </c>
      <c r="C633" s="87"/>
      <c r="D633" s="87"/>
      <c r="E633" s="87"/>
      <c r="F633" s="87"/>
      <c r="G633" s="87"/>
      <c r="H633" s="87"/>
      <c r="I633" s="87"/>
      <c r="J633" s="87"/>
      <c r="K633" s="87"/>
      <c r="L633" s="87"/>
    </row>
    <row r="637" spans="2:27">
      <c r="D637" s="89" t="s">
        <v>5522</v>
      </c>
      <c r="E637" s="92" t="s">
        <v>2877</v>
      </c>
      <c r="F637" s="93"/>
      <c r="G637" s="93"/>
      <c r="H637" s="93"/>
      <c r="I637" s="93"/>
      <c r="J637" s="93"/>
      <c r="K637" s="93"/>
      <c r="L637" s="93"/>
      <c r="M637" s="93"/>
      <c r="N637" s="93"/>
      <c r="O637" s="93"/>
      <c r="P637" s="93"/>
      <c r="Q637" s="94"/>
    </row>
    <row r="638" spans="2:27">
      <c r="D638" s="90"/>
      <c r="E638" s="95"/>
      <c r="F638" s="96"/>
      <c r="G638" s="96"/>
      <c r="H638" s="96"/>
      <c r="I638" s="96"/>
      <c r="J638" s="96"/>
      <c r="K638" s="96"/>
      <c r="L638" s="96"/>
      <c r="M638" s="96"/>
      <c r="N638" s="96"/>
      <c r="O638" s="96"/>
      <c r="P638" s="96"/>
      <c r="Q638" s="97"/>
    </row>
    <row r="639" spans="2:27">
      <c r="D639" s="90"/>
      <c r="E639" s="98" t="s">
        <v>4916</v>
      </c>
      <c r="F639" s="99"/>
      <c r="G639" s="98" t="s">
        <v>4913</v>
      </c>
      <c r="H639" s="100"/>
      <c r="I639" s="100"/>
      <c r="J639" s="100"/>
      <c r="K639" s="100"/>
      <c r="L639" s="100"/>
      <c r="M639" s="99"/>
      <c r="N639" s="89" t="s">
        <v>5119</v>
      </c>
      <c r="O639" s="89" t="s">
        <v>5120</v>
      </c>
      <c r="P639" s="89" t="s">
        <v>5121</v>
      </c>
      <c r="Q639" s="89" t="s">
        <v>5122</v>
      </c>
    </row>
    <row r="640" spans="2:27" ht="60">
      <c r="D640" s="91"/>
      <c r="E640" s="55" t="s">
        <v>5480</v>
      </c>
      <c r="F640" s="55" t="s">
        <v>5481</v>
      </c>
      <c r="G640" s="55" t="s">
        <v>5482</v>
      </c>
      <c r="H640" s="55" t="s">
        <v>5483</v>
      </c>
      <c r="I640" s="55" t="s">
        <v>5484</v>
      </c>
      <c r="J640" s="55" t="s">
        <v>5485</v>
      </c>
      <c r="K640" s="55" t="s">
        <v>5486</v>
      </c>
      <c r="L640" s="55" t="s">
        <v>5487</v>
      </c>
      <c r="M640" s="55" t="s">
        <v>5488</v>
      </c>
      <c r="N640" s="91"/>
      <c r="O640" s="91"/>
      <c r="P640" s="91"/>
      <c r="Q640" s="91"/>
    </row>
    <row r="641" spans="2:27">
      <c r="D641" s="45" t="s">
        <v>4062</v>
      </c>
      <c r="E641" s="45" t="s">
        <v>4049</v>
      </c>
      <c r="F641" s="45" t="s">
        <v>4050</v>
      </c>
      <c r="G641" s="45" t="s">
        <v>4051</v>
      </c>
      <c r="H641" s="45" t="s">
        <v>4052</v>
      </c>
      <c r="I641" s="45" t="s">
        <v>4053</v>
      </c>
      <c r="J641" s="45" t="s">
        <v>4054</v>
      </c>
      <c r="K641" s="45" t="s">
        <v>4055</v>
      </c>
      <c r="L641" s="45" t="s">
        <v>4056</v>
      </c>
      <c r="M641" s="45" t="s">
        <v>4057</v>
      </c>
      <c r="N641" s="45" t="s">
        <v>4058</v>
      </c>
      <c r="O641" s="45" t="s">
        <v>4059</v>
      </c>
      <c r="P641" s="45" t="s">
        <v>4060</v>
      </c>
      <c r="Q641" s="45" t="s">
        <v>4061</v>
      </c>
      <c r="Z641" s="13" t="str">
        <f>Show!$B$156&amp;"S.27.01.01.24 Rows {"&amp;COLUMN($C$1)&amp;"}"&amp;"@ForceFilingCode:true"</f>
        <v>!S.27.01.01.24 Rows {3}@ForceFilingCode:true</v>
      </c>
      <c r="AA641" s="13" t="str">
        <f>Show!$B$156&amp;"S.27.01.01.24 Columns {"&amp;COLUMN($D$1)&amp;"}"</f>
        <v>!S.27.01.01.24 Columns {4}</v>
      </c>
    </row>
    <row r="642" spans="2:27">
      <c r="B642" s="43" t="s">
        <v>2880</v>
      </c>
      <c r="C642" s="44" t="s">
        <v>2878</v>
      </c>
      <c r="D642" s="58"/>
      <c r="E642" s="67"/>
      <c r="F642" s="67"/>
      <c r="G642" s="67"/>
      <c r="H642" s="67"/>
      <c r="I642" s="67"/>
      <c r="J642" s="67"/>
      <c r="K642" s="67"/>
      <c r="L642" s="67"/>
      <c r="M642" s="67"/>
      <c r="N642" s="67"/>
      <c r="O642" s="67"/>
      <c r="P642" s="67"/>
      <c r="Q642" s="59"/>
    </row>
    <row r="643" spans="2:27">
      <c r="B643" s="47" t="s">
        <v>5489</v>
      </c>
      <c r="C643" s="44" t="s">
        <v>2878</v>
      </c>
      <c r="D643" s="56"/>
      <c r="E643" s="67"/>
      <c r="F643" s="67"/>
      <c r="G643" s="66"/>
      <c r="H643" s="66"/>
      <c r="I643" s="66"/>
      <c r="J643" s="66"/>
      <c r="K643" s="66"/>
      <c r="L643" s="66"/>
      <c r="M643" s="66"/>
      <c r="N643" s="66"/>
      <c r="O643" s="67"/>
      <c r="P643" s="67"/>
      <c r="Q643" s="59"/>
    </row>
    <row r="644" spans="2:27">
      <c r="B644" s="49" t="s">
        <v>5526</v>
      </c>
      <c r="C644" s="41" t="s">
        <v>5527</v>
      </c>
      <c r="D644" s="51"/>
      <c r="E644" s="56"/>
      <c r="F644" s="46"/>
      <c r="G644" s="50"/>
      <c r="H644" s="60"/>
      <c r="I644" s="70"/>
      <c r="J644" s="60"/>
      <c r="K644" s="70"/>
      <c r="L644" s="60"/>
      <c r="M644" s="70"/>
      <c r="N644" s="64"/>
      <c r="O644" s="56"/>
      <c r="P644" s="56"/>
      <c r="Q644" s="46"/>
    </row>
    <row r="646" spans="2:27">
      <c r="Z646" s="13" t="str">
        <f>Show!$B$156&amp;Show!$B$156&amp;"S.27.01.01.24 Rows {"&amp;COLUMN($C$1)&amp;"}"</f>
        <v>!!S.27.01.01.24 Rows {3}</v>
      </c>
      <c r="AA646" s="13" t="str">
        <f>Show!$B$156&amp;Show!$B$156&amp;"S.27.01.01.24 Columns {"&amp;COLUMN($Q$1)&amp;"}"</f>
        <v>!!S.27.01.01.24 Columns {17}</v>
      </c>
    </row>
    <row r="648" spans="2:27" ht="18.75">
      <c r="B648" s="88" t="s">
        <v>5528</v>
      </c>
      <c r="C648" s="87"/>
      <c r="D648" s="87"/>
      <c r="E648" s="87"/>
      <c r="F648" s="87"/>
      <c r="G648" s="87"/>
      <c r="H648" s="87"/>
      <c r="I648" s="87"/>
      <c r="J648" s="87"/>
      <c r="K648" s="87"/>
      <c r="L648" s="87"/>
    </row>
    <row r="652" spans="2:27">
      <c r="D652" s="92" t="s">
        <v>2877</v>
      </c>
      <c r="E652" s="93"/>
      <c r="F652" s="93"/>
      <c r="G652" s="93"/>
      <c r="H652" s="93"/>
      <c r="I652" s="93"/>
      <c r="J652" s="93"/>
      <c r="K652" s="93"/>
      <c r="L652" s="93"/>
      <c r="M652" s="93"/>
      <c r="N652" s="93"/>
      <c r="O652" s="93"/>
      <c r="P652" s="94"/>
    </row>
    <row r="653" spans="2:27">
      <c r="D653" s="95"/>
      <c r="E653" s="96"/>
      <c r="F653" s="96"/>
      <c r="G653" s="96"/>
      <c r="H653" s="96"/>
      <c r="I653" s="96"/>
      <c r="J653" s="96"/>
      <c r="K653" s="96"/>
      <c r="L653" s="96"/>
      <c r="M653" s="96"/>
      <c r="N653" s="96"/>
      <c r="O653" s="96"/>
      <c r="P653" s="97"/>
    </row>
    <row r="654" spans="2:27">
      <c r="D654" s="98" t="s">
        <v>4916</v>
      </c>
      <c r="E654" s="99"/>
      <c r="F654" s="98" t="s">
        <v>4913</v>
      </c>
      <c r="G654" s="100"/>
      <c r="H654" s="100"/>
      <c r="I654" s="100"/>
      <c r="J654" s="100"/>
      <c r="K654" s="100"/>
      <c r="L654" s="99"/>
      <c r="M654" s="89" t="s">
        <v>5119</v>
      </c>
      <c r="N654" s="89" t="s">
        <v>5120</v>
      </c>
      <c r="O654" s="89" t="s">
        <v>5121</v>
      </c>
      <c r="P654" s="89" t="s">
        <v>5122</v>
      </c>
    </row>
    <row r="655" spans="2:27" ht="60">
      <c r="D655" s="55" t="s">
        <v>5480</v>
      </c>
      <c r="E655" s="55" t="s">
        <v>5481</v>
      </c>
      <c r="F655" s="55" t="s">
        <v>5482</v>
      </c>
      <c r="G655" s="55" t="s">
        <v>5483</v>
      </c>
      <c r="H655" s="55" t="s">
        <v>5484</v>
      </c>
      <c r="I655" s="55" t="s">
        <v>5485</v>
      </c>
      <c r="J655" s="55" t="s">
        <v>5486</v>
      </c>
      <c r="K655" s="55" t="s">
        <v>5487</v>
      </c>
      <c r="L655" s="55" t="s">
        <v>5488</v>
      </c>
      <c r="M655" s="91"/>
      <c r="N655" s="91"/>
      <c r="O655" s="91"/>
      <c r="P655" s="91"/>
    </row>
    <row r="656" spans="2:27">
      <c r="D656" s="45" t="s">
        <v>4049</v>
      </c>
      <c r="E656" s="45" t="s">
        <v>4050</v>
      </c>
      <c r="F656" s="45" t="s">
        <v>4051</v>
      </c>
      <c r="G656" s="45" t="s">
        <v>4052</v>
      </c>
      <c r="H656" s="45" t="s">
        <v>4053</v>
      </c>
      <c r="I656" s="45" t="s">
        <v>4054</v>
      </c>
      <c r="J656" s="45" t="s">
        <v>4055</v>
      </c>
      <c r="K656" s="45" t="s">
        <v>4056</v>
      </c>
      <c r="L656" s="45" t="s">
        <v>4057</v>
      </c>
      <c r="M656" s="45" t="s">
        <v>4058</v>
      </c>
      <c r="N656" s="45" t="s">
        <v>4059</v>
      </c>
      <c r="O656" s="45" t="s">
        <v>4060</v>
      </c>
      <c r="P656" s="45" t="s">
        <v>4061</v>
      </c>
      <c r="Z656" s="13" t="str">
        <f>Show!$B$156&amp;"S.27.01.01.25 Rows {"&amp;COLUMN($C$1)&amp;"}"&amp;"@ForceFilingCode:true"</f>
        <v>!S.27.01.01.25 Rows {3}@ForceFilingCode:true</v>
      </c>
      <c r="AA656" s="13" t="str">
        <f>Show!$B$156&amp;"S.27.01.01.25 Columns {"&amp;COLUMN($D$1)&amp;"}"</f>
        <v>!S.27.01.01.25 Columns {4}</v>
      </c>
    </row>
    <row r="657" spans="2:27">
      <c r="B657" s="43" t="s">
        <v>2880</v>
      </c>
      <c r="C657" s="44" t="s">
        <v>2878</v>
      </c>
      <c r="D657" s="58"/>
      <c r="E657" s="67"/>
      <c r="F657" s="67"/>
      <c r="G657" s="67"/>
      <c r="H657" s="67"/>
      <c r="I657" s="67"/>
      <c r="J657" s="67"/>
      <c r="K657" s="67"/>
      <c r="L657" s="67"/>
      <c r="M657" s="67"/>
      <c r="N657" s="67"/>
      <c r="O657" s="67"/>
      <c r="P657" s="59"/>
    </row>
    <row r="658" spans="2:27">
      <c r="B658" s="47" t="s">
        <v>5489</v>
      </c>
      <c r="C658" s="44" t="s">
        <v>2878</v>
      </c>
      <c r="D658" s="56"/>
      <c r="E658" s="66"/>
      <c r="F658" s="67"/>
      <c r="G658" s="67"/>
      <c r="H658" s="67"/>
      <c r="I658" s="67"/>
      <c r="J658" s="67"/>
      <c r="K658" s="67"/>
      <c r="L658" s="67"/>
      <c r="M658" s="66"/>
      <c r="N658" s="66"/>
      <c r="O658" s="66"/>
      <c r="P658" s="57"/>
    </row>
    <row r="659" spans="2:27">
      <c r="B659" s="49" t="s">
        <v>5529</v>
      </c>
      <c r="C659" s="41" t="s">
        <v>5530</v>
      </c>
      <c r="D659" s="50"/>
      <c r="E659" s="64"/>
      <c r="F659" s="56"/>
      <c r="G659" s="56"/>
      <c r="H659" s="56"/>
      <c r="I659" s="56"/>
      <c r="J659" s="56"/>
      <c r="K659" s="56"/>
      <c r="L659" s="46"/>
      <c r="M659" s="60"/>
      <c r="N659" s="60"/>
      <c r="O659" s="60"/>
      <c r="P659" s="60"/>
    </row>
    <row r="661" spans="2:27">
      <c r="Z661" s="13" t="str">
        <f>Show!$B$156&amp;Show!$B$156&amp;"S.27.01.01.25 Rows {"&amp;COLUMN($C$1)&amp;"}"</f>
        <v>!!S.27.01.01.25 Rows {3}</v>
      </c>
      <c r="AA661" s="13" t="str">
        <f>Show!$B$156&amp;Show!$B$156&amp;"S.27.01.01.25 Columns {"&amp;COLUMN($P$1)&amp;"}"</f>
        <v>!!S.27.01.01.25 Columns {16}</v>
      </c>
    </row>
    <row r="663" spans="2:27" ht="18.75">
      <c r="B663" s="88" t="s">
        <v>5531</v>
      </c>
      <c r="C663" s="87"/>
      <c r="D663" s="87"/>
      <c r="E663" s="87"/>
      <c r="F663" s="87"/>
      <c r="G663" s="87"/>
      <c r="H663" s="87"/>
      <c r="I663" s="87"/>
      <c r="J663" s="87"/>
      <c r="K663" s="87"/>
      <c r="L663" s="87"/>
    </row>
    <row r="667" spans="2:27">
      <c r="D667" s="92" t="s">
        <v>2877</v>
      </c>
      <c r="E667" s="93"/>
      <c r="F667" s="93"/>
      <c r="G667" s="93"/>
      <c r="H667" s="93"/>
      <c r="I667" s="93"/>
      <c r="J667" s="93"/>
      <c r="K667" s="93"/>
      <c r="L667" s="94"/>
    </row>
    <row r="668" spans="2:27">
      <c r="D668" s="95"/>
      <c r="E668" s="96"/>
      <c r="F668" s="96"/>
      <c r="G668" s="96"/>
      <c r="H668" s="96"/>
      <c r="I668" s="96"/>
      <c r="J668" s="96"/>
      <c r="K668" s="96"/>
      <c r="L668" s="97"/>
    </row>
    <row r="669" spans="2:27">
      <c r="D669" s="89" t="s">
        <v>5441</v>
      </c>
      <c r="E669" s="98" t="s">
        <v>5442</v>
      </c>
      <c r="F669" s="100"/>
      <c r="G669" s="100"/>
      <c r="H669" s="99"/>
      <c r="I669" s="89" t="s">
        <v>5119</v>
      </c>
      <c r="J669" s="89" t="s">
        <v>5120</v>
      </c>
      <c r="K669" s="89" t="s">
        <v>5121</v>
      </c>
      <c r="L669" s="89" t="s">
        <v>5122</v>
      </c>
    </row>
    <row r="670" spans="2:27" ht="30">
      <c r="D670" s="91"/>
      <c r="E670" s="55" t="s">
        <v>5388</v>
      </c>
      <c r="F670" s="55" t="s">
        <v>5393</v>
      </c>
      <c r="G670" s="55" t="s">
        <v>5395</v>
      </c>
      <c r="H670" s="55" t="s">
        <v>5396</v>
      </c>
      <c r="I670" s="91"/>
      <c r="J670" s="91"/>
      <c r="K670" s="91"/>
      <c r="L670" s="91"/>
    </row>
    <row r="671" spans="2:27">
      <c r="D671" s="45" t="s">
        <v>4038</v>
      </c>
      <c r="E671" s="45" t="s">
        <v>4039</v>
      </c>
      <c r="F671" s="45" t="s">
        <v>4040</v>
      </c>
      <c r="G671" s="45" t="s">
        <v>4042</v>
      </c>
      <c r="H671" s="45" t="s">
        <v>4044</v>
      </c>
      <c r="I671" s="45" t="s">
        <v>4045</v>
      </c>
      <c r="J671" s="45" t="s">
        <v>5443</v>
      </c>
      <c r="K671" s="45" t="s">
        <v>5444</v>
      </c>
      <c r="L671" s="45" t="s">
        <v>4047</v>
      </c>
      <c r="Z671" s="13" t="str">
        <f>Show!$B$156&amp;"S.27.01.01.26 Rows {"&amp;COLUMN($C$1)&amp;"}"&amp;"@ForceFilingCode:true"</f>
        <v>!S.27.01.01.26 Rows {3}@ForceFilingCode:true</v>
      </c>
      <c r="AA671" s="13" t="str">
        <f>Show!$B$156&amp;"S.27.01.01.26 Columns {"&amp;COLUMN($D$1)&amp;"}"</f>
        <v>!S.27.01.01.26 Columns {4}</v>
      </c>
    </row>
    <row r="672" spans="2:27">
      <c r="B672" s="43" t="s">
        <v>2880</v>
      </c>
      <c r="C672" s="44" t="s">
        <v>2878</v>
      </c>
      <c r="D672" s="58"/>
      <c r="E672" s="67"/>
      <c r="F672" s="67"/>
      <c r="G672" s="67"/>
      <c r="H672" s="67"/>
      <c r="I672" s="67"/>
      <c r="J672" s="67"/>
      <c r="K672" s="67"/>
      <c r="L672" s="59"/>
    </row>
    <row r="673" spans="2:27">
      <c r="B673" s="47" t="s">
        <v>5445</v>
      </c>
      <c r="C673" s="44" t="s">
        <v>2878</v>
      </c>
      <c r="D673" s="58"/>
      <c r="E673" s="67"/>
      <c r="F673" s="67"/>
      <c r="G673" s="67"/>
      <c r="H673" s="67"/>
      <c r="I673" s="66"/>
      <c r="J673" s="66"/>
      <c r="K673" s="66"/>
      <c r="L673" s="57"/>
    </row>
    <row r="674" spans="2:27">
      <c r="B674" s="49" t="s">
        <v>5532</v>
      </c>
      <c r="C674" s="44" t="s">
        <v>5533</v>
      </c>
      <c r="D674" s="58"/>
      <c r="E674" s="58"/>
      <c r="F674" s="58"/>
      <c r="G674" s="58"/>
      <c r="H674" s="48"/>
      <c r="I674" s="60"/>
      <c r="J674" s="63"/>
      <c r="K674" s="63"/>
      <c r="L674" s="60"/>
    </row>
    <row r="675" spans="2:27">
      <c r="B675" s="49" t="s">
        <v>5436</v>
      </c>
      <c r="C675" s="44" t="s">
        <v>5534</v>
      </c>
      <c r="D675" s="58"/>
      <c r="E675" s="58"/>
      <c r="F675" s="58"/>
      <c r="G675" s="58"/>
      <c r="H675" s="48"/>
      <c r="I675" s="64"/>
      <c r="J675" s="58"/>
      <c r="K675" s="48"/>
      <c r="L675" s="60"/>
    </row>
    <row r="676" spans="2:27">
      <c r="B676" s="49" t="s">
        <v>5535</v>
      </c>
      <c r="C676" s="44" t="s">
        <v>5536</v>
      </c>
      <c r="D676" s="56"/>
      <c r="E676" s="56"/>
      <c r="F676" s="56"/>
      <c r="G676" s="56"/>
      <c r="H676" s="46"/>
      <c r="I676" s="64"/>
      <c r="J676" s="56"/>
      <c r="K676" s="46"/>
      <c r="L676" s="60"/>
    </row>
    <row r="678" spans="2:27">
      <c r="Z678" s="13" t="str">
        <f>Show!$B$156&amp;Show!$B$156&amp;"S.27.01.01.26 Rows {"&amp;COLUMN($C$1)&amp;"}"</f>
        <v>!!S.27.01.01.26 Rows {3}</v>
      </c>
      <c r="AA678" s="13" t="str">
        <f>Show!$B$156&amp;Show!$B$156&amp;"S.27.01.01.26 Columns {"&amp;COLUMN($L$1)&amp;"}"</f>
        <v>!!S.27.01.01.26 Columns {12}</v>
      </c>
    </row>
    <row r="680" spans="2:27" ht="18.75">
      <c r="B680" s="88" t="s">
        <v>5537</v>
      </c>
      <c r="C680" s="87"/>
      <c r="D680" s="87"/>
      <c r="E680" s="87"/>
      <c r="F680" s="87"/>
      <c r="G680" s="87"/>
      <c r="H680" s="87"/>
      <c r="I680" s="87"/>
      <c r="J680" s="87"/>
      <c r="K680" s="87"/>
      <c r="L680" s="87"/>
    </row>
    <row r="684" spans="2:27">
      <c r="D684" s="89" t="s">
        <v>2877</v>
      </c>
    </row>
    <row r="685" spans="2:27">
      <c r="D685" s="91"/>
    </row>
    <row r="686" spans="2:27" ht="30">
      <c r="D686" s="55" t="s">
        <v>2574</v>
      </c>
    </row>
    <row r="687" spans="2:27">
      <c r="D687" s="45" t="s">
        <v>3581</v>
      </c>
      <c r="Z687" s="13" t="str">
        <f>Show!$B$156&amp;"S.27.01.01.27 Rows {"&amp;COLUMN($C$1)&amp;"}"&amp;"@ForceFilingCode:true"</f>
        <v>!S.27.01.01.27 Rows {3}@ForceFilingCode:true</v>
      </c>
      <c r="AA687" s="13" t="str">
        <f>Show!$B$156&amp;"S.27.01.01.27 Columns {"&amp;COLUMN($D$1)&amp;"}"</f>
        <v>!S.27.01.01.27 Columns {4}</v>
      </c>
    </row>
    <row r="688" spans="2:27">
      <c r="B688" s="43" t="s">
        <v>2880</v>
      </c>
      <c r="C688" s="44" t="s">
        <v>2878</v>
      </c>
      <c r="D688" s="46"/>
    </row>
    <row r="689" spans="2:27">
      <c r="B689" s="47" t="s">
        <v>5538</v>
      </c>
      <c r="C689" s="41" t="s">
        <v>4601</v>
      </c>
      <c r="D689" s="51"/>
    </row>
    <row r="690" spans="2:27">
      <c r="B690" s="47" t="s">
        <v>5539</v>
      </c>
      <c r="C690" s="41" t="s">
        <v>5540</v>
      </c>
      <c r="D690" s="51"/>
    </row>
    <row r="692" spans="2:27">
      <c r="Z692" s="13" t="str">
        <f>Show!$B$156&amp;Show!$B$156&amp;"S.27.01.01.27 Rows {"&amp;COLUMN($C$1)&amp;"}"</f>
        <v>!!S.27.01.01.27 Rows {3}</v>
      </c>
      <c r="AA692" s="13" t="str">
        <f>Show!$B$156&amp;Show!$B$156&amp;"S.27.01.01.27 Columns {"&amp;COLUMN($D$1)&amp;"}"</f>
        <v>!!S.27.01.01.27 Columns {4}</v>
      </c>
    </row>
    <row r="694" spans="2:27" ht="18.75">
      <c r="B694" s="88" t="s">
        <v>5541</v>
      </c>
      <c r="C694" s="87"/>
      <c r="D694" s="87"/>
      <c r="E694" s="87"/>
      <c r="F694" s="87"/>
      <c r="G694" s="87"/>
      <c r="H694" s="87"/>
      <c r="I694" s="87"/>
      <c r="J694" s="87"/>
      <c r="K694" s="87"/>
      <c r="L694" s="87"/>
    </row>
    <row r="698" spans="2:27">
      <c r="D698" s="89" t="s">
        <v>2877</v>
      </c>
    </row>
    <row r="699" spans="2:27">
      <c r="D699" s="91"/>
    </row>
    <row r="700" spans="2:27">
      <c r="D700" s="55" t="s">
        <v>5542</v>
      </c>
    </row>
    <row r="701" spans="2:27">
      <c r="D701" s="45" t="s">
        <v>5543</v>
      </c>
      <c r="Z701" s="13" t="str">
        <f>Show!$B$156&amp;"S.27.01.01.28 Rows {"&amp;COLUMN($C$1)&amp;"}"&amp;"@ForceFilingCode:true"</f>
        <v>!S.27.01.01.28 Rows {3}@ForceFilingCode:true</v>
      </c>
      <c r="AA701" s="13" t="str">
        <f>Show!$B$156&amp;"S.27.01.01.28 Columns {"&amp;COLUMN($D$1)&amp;"}"</f>
        <v>!S.27.01.01.28 Columns {4}</v>
      </c>
    </row>
    <row r="702" spans="2:27">
      <c r="B702" s="43" t="s">
        <v>2880</v>
      </c>
      <c r="C702" s="44" t="s">
        <v>2878</v>
      </c>
      <c r="D702" s="46"/>
    </row>
    <row r="703" spans="2:27">
      <c r="B703" s="47" t="s">
        <v>5544</v>
      </c>
      <c r="C703" s="41" t="s">
        <v>5545</v>
      </c>
      <c r="D703" s="50"/>
    </row>
    <row r="705" spans="26:27">
      <c r="Z705" s="13" t="str">
        <f>Show!$B$156&amp;Show!$B$156&amp;"S.27.01.01.28 Rows {"&amp;COLUMN($C$1)&amp;"}"</f>
        <v>!!S.27.01.01.28 Rows {3}</v>
      </c>
      <c r="AA705" s="13" t="str">
        <f>Show!$B$156&amp;Show!$B$156&amp;"S.27.01.01.28 Columns {"&amp;COLUMN($D$1)&amp;"}"</f>
        <v>!!S.27.01.01.28 Columns {4}</v>
      </c>
    </row>
  </sheetData>
  <sheetProtection sheet="1" objects="1" scenarios="1"/>
  <mergeCells count="160">
    <mergeCell ref="B2:O2"/>
    <mergeCell ref="B5:L5"/>
    <mergeCell ref="D9:F10"/>
    <mergeCell ref="D11:D13"/>
    <mergeCell ref="E11:E13"/>
    <mergeCell ref="F11:F13"/>
    <mergeCell ref="B47:L47"/>
    <mergeCell ref="D51:L52"/>
    <mergeCell ref="D53:D54"/>
    <mergeCell ref="E53:E54"/>
    <mergeCell ref="F53:F54"/>
    <mergeCell ref="G53:G54"/>
    <mergeCell ref="H53:H54"/>
    <mergeCell ref="I53:I54"/>
    <mergeCell ref="J53:J54"/>
    <mergeCell ref="K53:K54"/>
    <mergeCell ref="L53:L54"/>
    <mergeCell ref="B107:L107"/>
    <mergeCell ref="D111:K112"/>
    <mergeCell ref="D113:D114"/>
    <mergeCell ref="E113:E114"/>
    <mergeCell ref="F113:F114"/>
    <mergeCell ref="G113:G114"/>
    <mergeCell ref="H113:H114"/>
    <mergeCell ref="I113:I114"/>
    <mergeCell ref="J113:J114"/>
    <mergeCell ref="K113:K114"/>
    <mergeCell ref="B164:L164"/>
    <mergeCell ref="D168:L169"/>
    <mergeCell ref="D170:D171"/>
    <mergeCell ref="E170:E171"/>
    <mergeCell ref="F170:F171"/>
    <mergeCell ref="G170:G171"/>
    <mergeCell ref="H170:H171"/>
    <mergeCell ref="I170:I171"/>
    <mergeCell ref="J170:J171"/>
    <mergeCell ref="K170:K171"/>
    <mergeCell ref="L170:L171"/>
    <mergeCell ref="B215:L215"/>
    <mergeCell ref="D219:L220"/>
    <mergeCell ref="D221:D222"/>
    <mergeCell ref="E221:E222"/>
    <mergeCell ref="F221:F222"/>
    <mergeCell ref="G221:G222"/>
    <mergeCell ref="H221:H222"/>
    <mergeCell ref="I221:I222"/>
    <mergeCell ref="I269:I270"/>
    <mergeCell ref="J269:J270"/>
    <mergeCell ref="K269:K270"/>
    <mergeCell ref="B280:L280"/>
    <mergeCell ref="D284:H285"/>
    <mergeCell ref="D286:H286"/>
    <mergeCell ref="J221:J222"/>
    <mergeCell ref="K221:K222"/>
    <mergeCell ref="L221:L222"/>
    <mergeCell ref="B263:L263"/>
    <mergeCell ref="D267:K268"/>
    <mergeCell ref="D269:D270"/>
    <mergeCell ref="E269:E270"/>
    <mergeCell ref="F269:F270"/>
    <mergeCell ref="G269:G270"/>
    <mergeCell ref="H269:H270"/>
    <mergeCell ref="D325:M326"/>
    <mergeCell ref="B334:L334"/>
    <mergeCell ref="D338:F339"/>
    <mergeCell ref="D340:F340"/>
    <mergeCell ref="B350:L350"/>
    <mergeCell ref="D354:I355"/>
    <mergeCell ref="B294:L294"/>
    <mergeCell ref="D298:I299"/>
    <mergeCell ref="D300:I300"/>
    <mergeCell ref="B308:L308"/>
    <mergeCell ref="D312:K313"/>
    <mergeCell ref="B321:L321"/>
    <mergeCell ref="D384:J384"/>
    <mergeCell ref="B397:L397"/>
    <mergeCell ref="D401:F402"/>
    <mergeCell ref="D403:F403"/>
    <mergeCell ref="B413:L413"/>
    <mergeCell ref="D417:I418"/>
    <mergeCell ref="D356:I356"/>
    <mergeCell ref="B364:L364"/>
    <mergeCell ref="D368:G369"/>
    <mergeCell ref="D370:G370"/>
    <mergeCell ref="B378:L378"/>
    <mergeCell ref="D382:J383"/>
    <mergeCell ref="D449:F449"/>
    <mergeCell ref="B459:L459"/>
    <mergeCell ref="D463:G464"/>
    <mergeCell ref="D465:G465"/>
    <mergeCell ref="B480:L480"/>
    <mergeCell ref="D484:O485"/>
    <mergeCell ref="D419:I419"/>
    <mergeCell ref="B429:L429"/>
    <mergeCell ref="D433:H434"/>
    <mergeCell ref="D435:H435"/>
    <mergeCell ref="B443:L443"/>
    <mergeCell ref="D447:F448"/>
    <mergeCell ref="B573:L573"/>
    <mergeCell ref="D577:P578"/>
    <mergeCell ref="D579:E579"/>
    <mergeCell ref="F579:L579"/>
    <mergeCell ref="M579:M580"/>
    <mergeCell ref="N579:N580"/>
    <mergeCell ref="O579:O580"/>
    <mergeCell ref="P579:P580"/>
    <mergeCell ref="N486:N487"/>
    <mergeCell ref="O486:O487"/>
    <mergeCell ref="B528:L528"/>
    <mergeCell ref="D532:L533"/>
    <mergeCell ref="D534:D535"/>
    <mergeCell ref="E534:H534"/>
    <mergeCell ref="I534:I535"/>
    <mergeCell ref="J534:J535"/>
    <mergeCell ref="K534:K535"/>
    <mergeCell ref="L534:L535"/>
    <mergeCell ref="D486:E486"/>
    <mergeCell ref="F486:G486"/>
    <mergeCell ref="H486:I486"/>
    <mergeCell ref="J486:K486"/>
    <mergeCell ref="L486:L487"/>
    <mergeCell ref="M486:M487"/>
    <mergeCell ref="B618:L618"/>
    <mergeCell ref="D622:D625"/>
    <mergeCell ref="E622:M623"/>
    <mergeCell ref="E624:E625"/>
    <mergeCell ref="F624:I624"/>
    <mergeCell ref="J624:J625"/>
    <mergeCell ref="K624:K625"/>
    <mergeCell ref="L624:L625"/>
    <mergeCell ref="M624:M625"/>
    <mergeCell ref="B648:L648"/>
    <mergeCell ref="D652:P653"/>
    <mergeCell ref="D654:E654"/>
    <mergeCell ref="F654:L654"/>
    <mergeCell ref="M654:M655"/>
    <mergeCell ref="N654:N655"/>
    <mergeCell ref="O654:O655"/>
    <mergeCell ref="P654:P655"/>
    <mergeCell ref="B633:L633"/>
    <mergeCell ref="D637:D640"/>
    <mergeCell ref="E637:Q638"/>
    <mergeCell ref="E639:F639"/>
    <mergeCell ref="G639:M639"/>
    <mergeCell ref="N639:N640"/>
    <mergeCell ref="O639:O640"/>
    <mergeCell ref="P639:P640"/>
    <mergeCell ref="Q639:Q640"/>
    <mergeCell ref="B680:L680"/>
    <mergeCell ref="D684:D685"/>
    <mergeCell ref="B694:L694"/>
    <mergeCell ref="D698:D699"/>
    <mergeCell ref="B663:L663"/>
    <mergeCell ref="D667:L668"/>
    <mergeCell ref="D669:D670"/>
    <mergeCell ref="E669:H669"/>
    <mergeCell ref="I669:I670"/>
    <mergeCell ref="J669:J670"/>
    <mergeCell ref="K669:K670"/>
    <mergeCell ref="L669:L670"/>
  </mergeCells>
  <dataValidations count="3">
    <dataValidation type="list" errorStyle="warning" allowBlank="1" showInputMessage="1" showErrorMessage="1" sqref="H58 H59 H60 H61 H62 H63 H64 H65 H66 H67 H68 H69 H70 H71 H72 H73 H74 H75 H76 H77 H78 H79 H80 H175 H176 H177 H178 H179 H180 H181 H182 H183 H184 H185 H186 H187 H188 H226 H227 H228 H229 H230 H231 H232 H233 H234 H235 H236" xr:uid="{AD8FC460-0BF9-491C-BD6C-5A9EE4CDA711}">
      <formula1>hier_RT_10</formula1>
    </dataValidation>
    <dataValidation type="list" errorStyle="warning" allowBlank="1" showInputMessage="1" showErrorMessage="1" sqref="D629 D644" xr:uid="{B0D0E49F-1115-4D06-B8C8-C76025488712}">
      <formula1>hier_GA_36</formula1>
    </dataValidation>
    <dataValidation type="list" errorStyle="warning" allowBlank="1" showInputMessage="1" showErrorMessage="1" sqref="D689" xr:uid="{C0E28A68-C4BC-4C63-8005-7618A5520ED9}">
      <formula1>hier_AP_28</formula1>
    </dataValidation>
  </dataValidations>
  <pageMargins left="0.7" right="0.7" top="0.75" bottom="0.75" header="0.3" footer="0.3"/>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61160-8B6B-4FFD-99F9-0500F0BE5613}">
  <sheetPr codeName="Blad161"/>
  <dimension ref="B2:AA705"/>
  <sheetViews>
    <sheetView showGridLines="0" workbookViewId="0"/>
  </sheetViews>
  <sheetFormatPr defaultRowHeight="15"/>
  <cols>
    <col min="2" max="2" width="82.28515625" bestFit="1" customWidth="1"/>
    <col min="4" max="17" width="15.7109375" customWidth="1"/>
  </cols>
  <sheetData>
    <row r="2" spans="2:27" ht="23.25">
      <c r="B2" s="86" t="s">
        <v>742</v>
      </c>
      <c r="C2" s="87"/>
      <c r="D2" s="87"/>
      <c r="E2" s="87"/>
      <c r="F2" s="87"/>
      <c r="G2" s="87"/>
      <c r="H2" s="87"/>
      <c r="I2" s="87"/>
      <c r="J2" s="87"/>
      <c r="K2" s="87"/>
      <c r="L2" s="87"/>
      <c r="M2" s="87"/>
      <c r="N2" s="87"/>
      <c r="O2" s="87"/>
    </row>
    <row r="5" spans="2:27" ht="18.75">
      <c r="B5" s="88" t="s">
        <v>5546</v>
      </c>
      <c r="C5" s="87"/>
      <c r="D5" s="87"/>
      <c r="E5" s="87"/>
      <c r="F5" s="87"/>
      <c r="G5" s="87"/>
      <c r="H5" s="87"/>
      <c r="I5" s="87"/>
      <c r="J5" s="87"/>
      <c r="K5" s="87"/>
      <c r="L5" s="87"/>
    </row>
    <row r="9" spans="2:27">
      <c r="D9" s="92" t="s">
        <v>2877</v>
      </c>
      <c r="E9" s="93"/>
      <c r="F9" s="94"/>
    </row>
    <row r="10" spans="2:27">
      <c r="D10" s="95"/>
      <c r="E10" s="96"/>
      <c r="F10" s="97"/>
    </row>
    <row r="11" spans="2:27">
      <c r="D11" s="89" t="s">
        <v>5091</v>
      </c>
      <c r="E11" s="89" t="s">
        <v>5092</v>
      </c>
      <c r="F11" s="89" t="s">
        <v>5093</v>
      </c>
    </row>
    <row r="12" spans="2:27">
      <c r="D12" s="90"/>
      <c r="E12" s="90"/>
      <c r="F12" s="90"/>
    </row>
    <row r="13" spans="2:27">
      <c r="D13" s="91"/>
      <c r="E13" s="91"/>
      <c r="F13" s="91"/>
    </row>
    <row r="14" spans="2:27">
      <c r="D14" s="45" t="s">
        <v>2879</v>
      </c>
      <c r="E14" s="45" t="s">
        <v>3219</v>
      </c>
      <c r="F14" s="45" t="s">
        <v>3225</v>
      </c>
      <c r="Z14" s="13" t="str">
        <f>Show!$B$157&amp;"S.27.01.04.01 Rows {"&amp;COLUMN($C$1)&amp;"}"&amp;"@ForceFilingCode:true"</f>
        <v>!S.27.01.04.01 Rows {3}@ForceFilingCode:true</v>
      </c>
      <c r="AA14" s="13" t="str">
        <f>Show!$B$157&amp;"S.27.01.04.01 Columns {"&amp;COLUMN($D$1)&amp;"}"</f>
        <v>!S.27.01.04.01 Columns {4}</v>
      </c>
    </row>
    <row r="15" spans="2:27">
      <c r="B15" s="43" t="s">
        <v>2880</v>
      </c>
      <c r="C15" s="44" t="s">
        <v>2878</v>
      </c>
      <c r="D15" s="58"/>
      <c r="E15" s="67"/>
      <c r="F15" s="59"/>
    </row>
    <row r="16" spans="2:27">
      <c r="B16" s="47" t="s">
        <v>5094</v>
      </c>
      <c r="C16" s="44" t="s">
        <v>2878</v>
      </c>
      <c r="D16" s="56"/>
      <c r="E16" s="66"/>
      <c r="F16" s="57"/>
    </row>
    <row r="17" spans="2:6">
      <c r="B17" s="49" t="s">
        <v>5095</v>
      </c>
      <c r="C17" s="41" t="s">
        <v>2883</v>
      </c>
      <c r="D17" s="60"/>
      <c r="E17" s="60"/>
      <c r="F17" s="60"/>
    </row>
    <row r="18" spans="2:6">
      <c r="B18" s="61" t="s">
        <v>5073</v>
      </c>
      <c r="C18" s="41" t="s">
        <v>2885</v>
      </c>
      <c r="D18" s="60"/>
      <c r="E18" s="60"/>
      <c r="F18" s="60"/>
    </row>
    <row r="19" spans="2:6">
      <c r="B19" s="61" t="s">
        <v>5075</v>
      </c>
      <c r="C19" s="41" t="s">
        <v>2887</v>
      </c>
      <c r="D19" s="60"/>
      <c r="E19" s="60"/>
      <c r="F19" s="60"/>
    </row>
    <row r="20" spans="2:6">
      <c r="B20" s="61" t="s">
        <v>5076</v>
      </c>
      <c r="C20" s="41" t="s">
        <v>2889</v>
      </c>
      <c r="D20" s="60"/>
      <c r="E20" s="60"/>
      <c r="F20" s="60"/>
    </row>
    <row r="21" spans="2:6">
      <c r="B21" s="61" t="s">
        <v>5074</v>
      </c>
      <c r="C21" s="41" t="s">
        <v>3078</v>
      </c>
      <c r="D21" s="60"/>
      <c r="E21" s="60"/>
      <c r="F21" s="60"/>
    </row>
    <row r="22" spans="2:6">
      <c r="B22" s="61" t="s">
        <v>5077</v>
      </c>
      <c r="C22" s="41" t="s">
        <v>2891</v>
      </c>
      <c r="D22" s="60"/>
      <c r="E22" s="60"/>
      <c r="F22" s="60"/>
    </row>
    <row r="23" spans="2:6">
      <c r="B23" s="61" t="s">
        <v>5096</v>
      </c>
      <c r="C23" s="41" t="s">
        <v>2893</v>
      </c>
      <c r="D23" s="60"/>
      <c r="E23" s="60"/>
      <c r="F23" s="60"/>
    </row>
    <row r="24" spans="2:6">
      <c r="B24" s="49" t="s">
        <v>5097</v>
      </c>
      <c r="C24" s="41" t="s">
        <v>2895</v>
      </c>
      <c r="D24" s="60"/>
      <c r="E24" s="60"/>
      <c r="F24" s="60"/>
    </row>
    <row r="25" spans="2:6">
      <c r="B25" s="49" t="s">
        <v>5098</v>
      </c>
      <c r="C25" s="41" t="s">
        <v>2897</v>
      </c>
      <c r="D25" s="60"/>
      <c r="E25" s="60"/>
      <c r="F25" s="60"/>
    </row>
    <row r="26" spans="2:6">
      <c r="B26" s="61" t="s">
        <v>4988</v>
      </c>
      <c r="C26" s="41" t="s">
        <v>2899</v>
      </c>
      <c r="D26" s="60"/>
      <c r="E26" s="60"/>
      <c r="F26" s="60"/>
    </row>
    <row r="27" spans="2:6">
      <c r="B27" s="61" t="s">
        <v>5099</v>
      </c>
      <c r="C27" s="41" t="s">
        <v>2901</v>
      </c>
      <c r="D27" s="60"/>
      <c r="E27" s="60"/>
      <c r="F27" s="60"/>
    </row>
    <row r="28" spans="2:6">
      <c r="B28" s="61" t="s">
        <v>5100</v>
      </c>
      <c r="C28" s="41" t="s">
        <v>2903</v>
      </c>
      <c r="D28" s="60"/>
      <c r="E28" s="60"/>
      <c r="F28" s="60"/>
    </row>
    <row r="29" spans="2:6">
      <c r="B29" s="61" t="s">
        <v>5101</v>
      </c>
      <c r="C29" s="41" t="s">
        <v>2905</v>
      </c>
      <c r="D29" s="60"/>
      <c r="E29" s="60"/>
      <c r="F29" s="60"/>
    </row>
    <row r="30" spans="2:6">
      <c r="B30" s="61" t="s">
        <v>5102</v>
      </c>
      <c r="C30" s="41" t="s">
        <v>2907</v>
      </c>
      <c r="D30" s="60"/>
      <c r="E30" s="60"/>
      <c r="F30" s="60"/>
    </row>
    <row r="31" spans="2:6">
      <c r="B31" s="61" t="s">
        <v>5103</v>
      </c>
      <c r="C31" s="41" t="s">
        <v>2909</v>
      </c>
      <c r="D31" s="60"/>
      <c r="E31" s="60"/>
      <c r="F31" s="60"/>
    </row>
    <row r="32" spans="2:6">
      <c r="B32" s="61" t="s">
        <v>5096</v>
      </c>
      <c r="C32" s="41" t="s">
        <v>2911</v>
      </c>
      <c r="D32" s="60"/>
      <c r="E32" s="60"/>
      <c r="F32" s="60"/>
    </row>
    <row r="33" spans="2:27">
      <c r="B33" s="49" t="s">
        <v>5104</v>
      </c>
      <c r="C33" s="41" t="s">
        <v>2913</v>
      </c>
      <c r="D33" s="60"/>
      <c r="E33" s="60"/>
      <c r="F33" s="60"/>
    </row>
    <row r="34" spans="2:27">
      <c r="B34" s="61" t="s">
        <v>5096</v>
      </c>
      <c r="C34" s="41" t="s">
        <v>2915</v>
      </c>
      <c r="D34" s="60"/>
      <c r="E34" s="60"/>
      <c r="F34" s="60"/>
    </row>
    <row r="35" spans="2:27">
      <c r="B35" s="49" t="s">
        <v>5105</v>
      </c>
      <c r="C35" s="41" t="s">
        <v>2917</v>
      </c>
      <c r="D35" s="60"/>
      <c r="E35" s="60"/>
      <c r="F35" s="60"/>
    </row>
    <row r="36" spans="2:27">
      <c r="B36" s="61" t="s">
        <v>5106</v>
      </c>
      <c r="C36" s="41" t="s">
        <v>2919</v>
      </c>
      <c r="D36" s="60"/>
      <c r="E36" s="60"/>
      <c r="F36" s="60"/>
    </row>
    <row r="37" spans="2:27">
      <c r="B37" s="49" t="s">
        <v>5107</v>
      </c>
      <c r="C37" s="41" t="s">
        <v>2921</v>
      </c>
      <c r="D37" s="63"/>
      <c r="E37" s="63"/>
      <c r="F37" s="63"/>
    </row>
    <row r="38" spans="2:27">
      <c r="B38" s="47" t="s">
        <v>5108</v>
      </c>
      <c r="C38" s="44" t="s">
        <v>2878</v>
      </c>
      <c r="D38" s="56"/>
      <c r="E38" s="66"/>
      <c r="F38" s="57"/>
    </row>
    <row r="39" spans="2:27">
      <c r="B39" s="49" t="s">
        <v>5109</v>
      </c>
      <c r="C39" s="41" t="s">
        <v>2939</v>
      </c>
      <c r="D39" s="60"/>
      <c r="E39" s="60"/>
      <c r="F39" s="60"/>
    </row>
    <row r="40" spans="2:27">
      <c r="B40" s="61" t="s">
        <v>5110</v>
      </c>
      <c r="C40" s="41" t="s">
        <v>2941</v>
      </c>
      <c r="D40" s="60"/>
      <c r="E40" s="60"/>
      <c r="F40" s="60"/>
    </row>
    <row r="41" spans="2:27">
      <c r="B41" s="61" t="s">
        <v>5111</v>
      </c>
      <c r="C41" s="41" t="s">
        <v>2943</v>
      </c>
      <c r="D41" s="60"/>
      <c r="E41" s="60"/>
      <c r="F41" s="60"/>
    </row>
    <row r="42" spans="2:27">
      <c r="B42" s="61" t="s">
        <v>5112</v>
      </c>
      <c r="C42" s="41" t="s">
        <v>2945</v>
      </c>
      <c r="D42" s="60"/>
      <c r="E42" s="60"/>
      <c r="F42" s="60"/>
    </row>
    <row r="43" spans="2:27">
      <c r="B43" s="61" t="s">
        <v>5106</v>
      </c>
      <c r="C43" s="41" t="s">
        <v>2947</v>
      </c>
      <c r="D43" s="60"/>
      <c r="E43" s="60"/>
      <c r="F43" s="60"/>
    </row>
    <row r="45" spans="2:27">
      <c r="Z45" s="13" t="str">
        <f>Show!$B$157&amp;Show!$B$157&amp;"S.27.01.04.01 Rows {"&amp;COLUMN($C$1)&amp;"}"</f>
        <v>!!S.27.01.04.01 Rows {3}</v>
      </c>
      <c r="AA45" s="13" t="str">
        <f>Show!$B$157&amp;Show!$B$157&amp;"S.27.01.04.01 Columns {"&amp;COLUMN($F$1)&amp;"}"</f>
        <v>!!S.27.01.04.01 Columns {6}</v>
      </c>
    </row>
    <row r="47" spans="2:27" ht="18.75">
      <c r="B47" s="88" t="s">
        <v>5547</v>
      </c>
      <c r="C47" s="87"/>
      <c r="D47" s="87"/>
      <c r="E47" s="87"/>
      <c r="F47" s="87"/>
      <c r="G47" s="87"/>
      <c r="H47" s="87"/>
      <c r="I47" s="87"/>
      <c r="J47" s="87"/>
      <c r="K47" s="87"/>
      <c r="L47" s="87"/>
    </row>
    <row r="51" spans="2:27">
      <c r="D51" s="92" t="s">
        <v>2877</v>
      </c>
      <c r="E51" s="93"/>
      <c r="F51" s="93"/>
      <c r="G51" s="93"/>
      <c r="H51" s="93"/>
      <c r="I51" s="93"/>
      <c r="J51" s="93"/>
      <c r="K51" s="93"/>
      <c r="L51" s="94"/>
    </row>
    <row r="52" spans="2:27">
      <c r="D52" s="95"/>
      <c r="E52" s="96"/>
      <c r="F52" s="96"/>
      <c r="G52" s="96"/>
      <c r="H52" s="96"/>
      <c r="I52" s="96"/>
      <c r="J52" s="96"/>
      <c r="K52" s="96"/>
      <c r="L52" s="97"/>
    </row>
    <row r="53" spans="2:27">
      <c r="D53" s="89" t="s">
        <v>5114</v>
      </c>
      <c r="E53" s="89" t="s">
        <v>5115</v>
      </c>
      <c r="F53" s="89" t="s">
        <v>5116</v>
      </c>
      <c r="G53" s="89" t="s">
        <v>5117</v>
      </c>
      <c r="H53" s="89" t="s">
        <v>5118</v>
      </c>
      <c r="I53" s="89" t="s">
        <v>5119</v>
      </c>
      <c r="J53" s="89" t="s">
        <v>5120</v>
      </c>
      <c r="K53" s="89" t="s">
        <v>5121</v>
      </c>
      <c r="L53" s="89" t="s">
        <v>5122</v>
      </c>
    </row>
    <row r="54" spans="2:27">
      <c r="D54" s="91"/>
      <c r="E54" s="91"/>
      <c r="F54" s="91"/>
      <c r="G54" s="91"/>
      <c r="H54" s="91"/>
      <c r="I54" s="91"/>
      <c r="J54" s="91"/>
      <c r="K54" s="91"/>
      <c r="L54" s="91"/>
    </row>
    <row r="55" spans="2:27">
      <c r="D55" s="45" t="s">
        <v>3223</v>
      </c>
      <c r="E55" s="45" t="s">
        <v>3229</v>
      </c>
      <c r="F55" s="45" t="s">
        <v>3231</v>
      </c>
      <c r="G55" s="45" t="s">
        <v>3233</v>
      </c>
      <c r="H55" s="45" t="s">
        <v>3234</v>
      </c>
      <c r="I55" s="45" t="s">
        <v>3236</v>
      </c>
      <c r="J55" s="45" t="s">
        <v>3239</v>
      </c>
      <c r="K55" s="45" t="s">
        <v>3241</v>
      </c>
      <c r="L55" s="45" t="s">
        <v>3243</v>
      </c>
      <c r="Z55" s="13" t="str">
        <f>Show!$B$157&amp;"S.27.01.04.02 Rows {"&amp;COLUMN($C$1)&amp;"}"&amp;"@ForceFilingCode:true"</f>
        <v>!S.27.01.04.02 Rows {3}@ForceFilingCode:true</v>
      </c>
      <c r="AA55" s="13" t="str">
        <f>Show!$B$157&amp;"S.27.01.04.02 Columns {"&amp;COLUMN($D$1)&amp;"}"</f>
        <v>!S.27.01.04.02 Columns {4}</v>
      </c>
    </row>
    <row r="56" spans="2:27">
      <c r="B56" s="43" t="s">
        <v>2880</v>
      </c>
      <c r="C56" s="44" t="s">
        <v>2878</v>
      </c>
      <c r="D56" s="58"/>
      <c r="E56" s="67"/>
      <c r="F56" s="67"/>
      <c r="G56" s="67"/>
      <c r="H56" s="67"/>
      <c r="I56" s="67"/>
      <c r="J56" s="67"/>
      <c r="K56" s="67"/>
      <c r="L56" s="59"/>
    </row>
    <row r="57" spans="2:27">
      <c r="B57" s="47" t="s">
        <v>5123</v>
      </c>
      <c r="C57" s="44" t="s">
        <v>2878</v>
      </c>
      <c r="D57" s="58"/>
      <c r="E57" s="66"/>
      <c r="F57" s="66"/>
      <c r="G57" s="66"/>
      <c r="H57" s="66"/>
      <c r="I57" s="66"/>
      <c r="J57" s="66"/>
      <c r="K57" s="66"/>
      <c r="L57" s="57"/>
    </row>
    <row r="58" spans="2:27">
      <c r="B58" s="49" t="s">
        <v>5124</v>
      </c>
      <c r="C58" s="44" t="s">
        <v>2959</v>
      </c>
      <c r="D58" s="48"/>
      <c r="E58" s="60"/>
      <c r="F58" s="60"/>
      <c r="G58" s="70"/>
      <c r="H58" s="51"/>
      <c r="I58" s="60"/>
      <c r="J58" s="60"/>
      <c r="K58" s="60"/>
      <c r="L58" s="60"/>
    </row>
    <row r="59" spans="2:27">
      <c r="B59" s="49" t="s">
        <v>5125</v>
      </c>
      <c r="C59" s="44" t="s">
        <v>2961</v>
      </c>
      <c r="D59" s="48"/>
      <c r="E59" s="60"/>
      <c r="F59" s="60"/>
      <c r="G59" s="70"/>
      <c r="H59" s="51"/>
      <c r="I59" s="60"/>
      <c r="J59" s="60"/>
      <c r="K59" s="60"/>
      <c r="L59" s="60"/>
    </row>
    <row r="60" spans="2:27">
      <c r="B60" s="49" t="s">
        <v>5126</v>
      </c>
      <c r="C60" s="44" t="s">
        <v>2963</v>
      </c>
      <c r="D60" s="48"/>
      <c r="E60" s="60"/>
      <c r="F60" s="60"/>
      <c r="G60" s="70"/>
      <c r="H60" s="51"/>
      <c r="I60" s="60"/>
      <c r="J60" s="60"/>
      <c r="K60" s="60"/>
      <c r="L60" s="60"/>
    </row>
    <row r="61" spans="2:27">
      <c r="B61" s="49" t="s">
        <v>5127</v>
      </c>
      <c r="C61" s="44" t="s">
        <v>2965</v>
      </c>
      <c r="D61" s="48"/>
      <c r="E61" s="60"/>
      <c r="F61" s="60"/>
      <c r="G61" s="70"/>
      <c r="H61" s="51"/>
      <c r="I61" s="60"/>
      <c r="J61" s="60"/>
      <c r="K61" s="60"/>
      <c r="L61" s="60"/>
    </row>
    <row r="62" spans="2:27">
      <c r="B62" s="49" t="s">
        <v>5128</v>
      </c>
      <c r="C62" s="44" t="s">
        <v>2967</v>
      </c>
      <c r="D62" s="48"/>
      <c r="E62" s="60"/>
      <c r="F62" s="60"/>
      <c r="G62" s="70"/>
      <c r="H62" s="51"/>
      <c r="I62" s="60"/>
      <c r="J62" s="60"/>
      <c r="K62" s="60"/>
      <c r="L62" s="60"/>
    </row>
    <row r="63" spans="2:27">
      <c r="B63" s="49" t="s">
        <v>5129</v>
      </c>
      <c r="C63" s="44" t="s">
        <v>5130</v>
      </c>
      <c r="D63" s="48"/>
      <c r="E63" s="60"/>
      <c r="F63" s="60"/>
      <c r="G63" s="70"/>
      <c r="H63" s="51"/>
      <c r="I63" s="60"/>
      <c r="J63" s="60"/>
      <c r="K63" s="60"/>
      <c r="L63" s="60"/>
    </row>
    <row r="64" spans="2:27" ht="30">
      <c r="B64" s="49" t="s">
        <v>5131</v>
      </c>
      <c r="C64" s="44" t="s">
        <v>2969</v>
      </c>
      <c r="D64" s="48"/>
      <c r="E64" s="60"/>
      <c r="F64" s="60"/>
      <c r="G64" s="70"/>
      <c r="H64" s="51"/>
      <c r="I64" s="60"/>
      <c r="J64" s="60"/>
      <c r="K64" s="60"/>
      <c r="L64" s="60"/>
    </row>
    <row r="65" spans="2:12">
      <c r="B65" s="49" t="s">
        <v>5132</v>
      </c>
      <c r="C65" s="44" t="s">
        <v>2971</v>
      </c>
      <c r="D65" s="48"/>
      <c r="E65" s="60"/>
      <c r="F65" s="60"/>
      <c r="G65" s="70"/>
      <c r="H65" s="51"/>
      <c r="I65" s="60"/>
      <c r="J65" s="60"/>
      <c r="K65" s="60"/>
      <c r="L65" s="60"/>
    </row>
    <row r="66" spans="2:12">
      <c r="B66" s="49" t="s">
        <v>5133</v>
      </c>
      <c r="C66" s="44" t="s">
        <v>4815</v>
      </c>
      <c r="D66" s="48"/>
      <c r="E66" s="60"/>
      <c r="F66" s="60"/>
      <c r="G66" s="70"/>
      <c r="H66" s="51"/>
      <c r="I66" s="60"/>
      <c r="J66" s="60"/>
      <c r="K66" s="60"/>
      <c r="L66" s="60"/>
    </row>
    <row r="67" spans="2:12">
      <c r="B67" s="49" t="s">
        <v>5134</v>
      </c>
      <c r="C67" s="44" t="s">
        <v>2973</v>
      </c>
      <c r="D67" s="48"/>
      <c r="E67" s="60"/>
      <c r="F67" s="60"/>
      <c r="G67" s="70"/>
      <c r="H67" s="51"/>
      <c r="I67" s="60"/>
      <c r="J67" s="60"/>
      <c r="K67" s="60"/>
      <c r="L67" s="60"/>
    </row>
    <row r="68" spans="2:12">
      <c r="B68" s="49" t="s">
        <v>5135</v>
      </c>
      <c r="C68" s="44" t="s">
        <v>2975</v>
      </c>
      <c r="D68" s="48"/>
      <c r="E68" s="60"/>
      <c r="F68" s="60"/>
      <c r="G68" s="70"/>
      <c r="H68" s="51"/>
      <c r="I68" s="60"/>
      <c r="J68" s="60"/>
      <c r="K68" s="60"/>
      <c r="L68" s="60"/>
    </row>
    <row r="69" spans="2:12">
      <c r="B69" s="49" t="s">
        <v>5136</v>
      </c>
      <c r="C69" s="44" t="s">
        <v>3096</v>
      </c>
      <c r="D69" s="48"/>
      <c r="E69" s="60"/>
      <c r="F69" s="60"/>
      <c r="G69" s="70"/>
      <c r="H69" s="51"/>
      <c r="I69" s="60"/>
      <c r="J69" s="60"/>
      <c r="K69" s="60"/>
      <c r="L69" s="60"/>
    </row>
    <row r="70" spans="2:12">
      <c r="B70" s="49" t="s">
        <v>5137</v>
      </c>
      <c r="C70" s="44" t="s">
        <v>2977</v>
      </c>
      <c r="D70" s="48"/>
      <c r="E70" s="60"/>
      <c r="F70" s="60"/>
      <c r="G70" s="70"/>
      <c r="H70" s="51"/>
      <c r="I70" s="60"/>
      <c r="J70" s="60"/>
      <c r="K70" s="60"/>
      <c r="L70" s="60"/>
    </row>
    <row r="71" spans="2:12">
      <c r="B71" s="49" t="s">
        <v>5138</v>
      </c>
      <c r="C71" s="44" t="s">
        <v>2979</v>
      </c>
      <c r="D71" s="48"/>
      <c r="E71" s="60"/>
      <c r="F71" s="60"/>
      <c r="G71" s="70"/>
      <c r="H71" s="51"/>
      <c r="I71" s="60"/>
      <c r="J71" s="60"/>
      <c r="K71" s="60"/>
      <c r="L71" s="60"/>
    </row>
    <row r="72" spans="2:12">
      <c r="B72" s="49" t="s">
        <v>5139</v>
      </c>
      <c r="C72" s="44" t="s">
        <v>2981</v>
      </c>
      <c r="D72" s="48"/>
      <c r="E72" s="60"/>
      <c r="F72" s="60"/>
      <c r="G72" s="70"/>
      <c r="H72" s="51"/>
      <c r="I72" s="60"/>
      <c r="J72" s="60"/>
      <c r="K72" s="60"/>
      <c r="L72" s="60"/>
    </row>
    <row r="73" spans="2:12">
      <c r="B73" s="49" t="s">
        <v>5140</v>
      </c>
      <c r="C73" s="44" t="s">
        <v>5141</v>
      </c>
      <c r="D73" s="48"/>
      <c r="E73" s="60"/>
      <c r="F73" s="60"/>
      <c r="G73" s="70"/>
      <c r="H73" s="51"/>
      <c r="I73" s="60"/>
      <c r="J73" s="60"/>
      <c r="K73" s="60"/>
      <c r="L73" s="60"/>
    </row>
    <row r="74" spans="2:12">
      <c r="B74" s="49" t="s">
        <v>5142</v>
      </c>
      <c r="C74" s="44" t="s">
        <v>2983</v>
      </c>
      <c r="D74" s="48"/>
      <c r="E74" s="60"/>
      <c r="F74" s="60"/>
      <c r="G74" s="70"/>
      <c r="H74" s="51"/>
      <c r="I74" s="60"/>
      <c r="J74" s="60"/>
      <c r="K74" s="60"/>
      <c r="L74" s="60"/>
    </row>
    <row r="75" spans="2:12">
      <c r="B75" s="49" t="s">
        <v>5143</v>
      </c>
      <c r="C75" s="44" t="s">
        <v>2985</v>
      </c>
      <c r="D75" s="48"/>
      <c r="E75" s="60"/>
      <c r="F75" s="60"/>
      <c r="G75" s="70"/>
      <c r="H75" s="51"/>
      <c r="I75" s="60"/>
      <c r="J75" s="60"/>
      <c r="K75" s="60"/>
      <c r="L75" s="60"/>
    </row>
    <row r="76" spans="2:12">
      <c r="B76" s="49" t="s">
        <v>5144</v>
      </c>
      <c r="C76" s="44" t="s">
        <v>2987</v>
      </c>
      <c r="D76" s="48"/>
      <c r="E76" s="60"/>
      <c r="F76" s="60"/>
      <c r="G76" s="70"/>
      <c r="H76" s="51"/>
      <c r="I76" s="60"/>
      <c r="J76" s="60"/>
      <c r="K76" s="60"/>
      <c r="L76" s="60"/>
    </row>
    <row r="77" spans="2:12">
      <c r="B77" s="49" t="s">
        <v>5145</v>
      </c>
      <c r="C77" s="44" t="s">
        <v>2989</v>
      </c>
      <c r="D77" s="48"/>
      <c r="E77" s="60"/>
      <c r="F77" s="60"/>
      <c r="G77" s="70"/>
      <c r="H77" s="51"/>
      <c r="I77" s="60"/>
      <c r="J77" s="60"/>
      <c r="K77" s="60"/>
      <c r="L77" s="60"/>
    </row>
    <row r="78" spans="2:12">
      <c r="B78" s="49" t="s">
        <v>5146</v>
      </c>
      <c r="C78" s="44" t="s">
        <v>2991</v>
      </c>
      <c r="D78" s="48"/>
      <c r="E78" s="60"/>
      <c r="F78" s="60"/>
      <c r="G78" s="70"/>
      <c r="H78" s="51"/>
      <c r="I78" s="60"/>
      <c r="J78" s="60"/>
      <c r="K78" s="60"/>
      <c r="L78" s="60"/>
    </row>
    <row r="79" spans="2:12">
      <c r="B79" s="49" t="s">
        <v>5147</v>
      </c>
      <c r="C79" s="44" t="s">
        <v>2993</v>
      </c>
      <c r="D79" s="48"/>
      <c r="E79" s="60"/>
      <c r="F79" s="60"/>
      <c r="G79" s="70"/>
      <c r="H79" s="51"/>
      <c r="I79" s="60"/>
      <c r="J79" s="60"/>
      <c r="K79" s="60"/>
      <c r="L79" s="60"/>
    </row>
    <row r="80" spans="2:12">
      <c r="B80" s="49" t="s">
        <v>5148</v>
      </c>
      <c r="C80" s="44" t="s">
        <v>2995</v>
      </c>
      <c r="D80" s="48"/>
      <c r="E80" s="60"/>
      <c r="F80" s="60"/>
      <c r="G80" s="70"/>
      <c r="H80" s="68"/>
      <c r="I80" s="60"/>
      <c r="J80" s="60"/>
      <c r="K80" s="60"/>
      <c r="L80" s="60"/>
    </row>
    <row r="81" spans="2:12">
      <c r="B81" s="49" t="s">
        <v>5149</v>
      </c>
      <c r="C81" s="44" t="s">
        <v>2997</v>
      </c>
      <c r="D81" s="46"/>
      <c r="E81" s="63"/>
      <c r="F81" s="63"/>
      <c r="G81" s="78"/>
      <c r="H81" s="48"/>
      <c r="I81" s="63"/>
      <c r="J81" s="63"/>
      <c r="K81" s="63"/>
      <c r="L81" s="63"/>
    </row>
    <row r="82" spans="2:12">
      <c r="B82" s="49" t="s">
        <v>5150</v>
      </c>
      <c r="C82" s="41" t="s">
        <v>2999</v>
      </c>
      <c r="D82" s="64"/>
      <c r="E82" s="58"/>
      <c r="F82" s="58"/>
      <c r="G82" s="58"/>
      <c r="H82" s="58"/>
      <c r="I82" s="58"/>
      <c r="J82" s="58"/>
      <c r="K82" s="58"/>
      <c r="L82" s="48"/>
    </row>
    <row r="83" spans="2:12">
      <c r="B83" s="49" t="s">
        <v>5151</v>
      </c>
      <c r="C83" s="41" t="s">
        <v>3001</v>
      </c>
      <c r="D83" s="64"/>
      <c r="E83" s="58"/>
      <c r="F83" s="58"/>
      <c r="G83" s="58"/>
      <c r="H83" s="58"/>
      <c r="I83" s="58"/>
      <c r="J83" s="58"/>
      <c r="K83" s="58"/>
      <c r="L83" s="48"/>
    </row>
    <row r="84" spans="2:12">
      <c r="B84" s="49" t="s">
        <v>5152</v>
      </c>
      <c r="C84" s="41" t="s">
        <v>3003</v>
      </c>
      <c r="D84" s="64"/>
      <c r="E84" s="58"/>
      <c r="F84" s="58"/>
      <c r="G84" s="58"/>
      <c r="H84" s="58"/>
      <c r="I84" s="58"/>
      <c r="J84" s="58"/>
      <c r="K84" s="58"/>
      <c r="L84" s="48"/>
    </row>
    <row r="85" spans="2:12">
      <c r="B85" s="49" t="s">
        <v>5153</v>
      </c>
      <c r="C85" s="41" t="s">
        <v>3005</v>
      </c>
      <c r="D85" s="64"/>
      <c r="E85" s="58"/>
      <c r="F85" s="58"/>
      <c r="G85" s="58"/>
      <c r="H85" s="58"/>
      <c r="I85" s="58"/>
      <c r="J85" s="58"/>
      <c r="K85" s="58"/>
      <c r="L85" s="48"/>
    </row>
    <row r="86" spans="2:12">
      <c r="B86" s="49" t="s">
        <v>5154</v>
      </c>
      <c r="C86" s="41" t="s">
        <v>3007</v>
      </c>
      <c r="D86" s="64"/>
      <c r="E86" s="58"/>
      <c r="F86" s="58"/>
      <c r="G86" s="58"/>
      <c r="H86" s="58"/>
      <c r="I86" s="58"/>
      <c r="J86" s="58"/>
      <c r="K86" s="58"/>
      <c r="L86" s="48"/>
    </row>
    <row r="87" spans="2:12">
      <c r="B87" s="49" t="s">
        <v>5155</v>
      </c>
      <c r="C87" s="41" t="s">
        <v>3009</v>
      </c>
      <c r="D87" s="64"/>
      <c r="E87" s="58"/>
      <c r="F87" s="58"/>
      <c r="G87" s="58"/>
      <c r="H87" s="58"/>
      <c r="I87" s="58"/>
      <c r="J87" s="58"/>
      <c r="K87" s="58"/>
      <c r="L87" s="48"/>
    </row>
    <row r="88" spans="2:12">
      <c r="B88" s="49" t="s">
        <v>5156</v>
      </c>
      <c r="C88" s="41" t="s">
        <v>3011</v>
      </c>
      <c r="D88" s="64"/>
      <c r="E88" s="58"/>
      <c r="F88" s="58"/>
      <c r="G88" s="58"/>
      <c r="H88" s="58"/>
      <c r="I88" s="58"/>
      <c r="J88" s="58"/>
      <c r="K88" s="58"/>
      <c r="L88" s="48"/>
    </row>
    <row r="89" spans="2:12">
      <c r="B89" s="49" t="s">
        <v>5157</v>
      </c>
      <c r="C89" s="41" t="s">
        <v>3013</v>
      </c>
      <c r="D89" s="64"/>
      <c r="E89" s="58"/>
      <c r="F89" s="58"/>
      <c r="G89" s="58"/>
      <c r="H89" s="58"/>
      <c r="I89" s="58"/>
      <c r="J89" s="58"/>
      <c r="K89" s="58"/>
      <c r="L89" s="48"/>
    </row>
    <row r="90" spans="2:12">
      <c r="B90" s="49" t="s">
        <v>5158</v>
      </c>
      <c r="C90" s="41" t="s">
        <v>3015</v>
      </c>
      <c r="D90" s="64"/>
      <c r="E90" s="58"/>
      <c r="F90" s="58"/>
      <c r="G90" s="58"/>
      <c r="H90" s="58"/>
      <c r="I90" s="58"/>
      <c r="J90" s="58"/>
      <c r="K90" s="58"/>
      <c r="L90" s="48"/>
    </row>
    <row r="91" spans="2:12">
      <c r="B91" s="49" t="s">
        <v>5159</v>
      </c>
      <c r="C91" s="41" t="s">
        <v>3064</v>
      </c>
      <c r="D91" s="64"/>
      <c r="E91" s="58"/>
      <c r="F91" s="58"/>
      <c r="G91" s="58"/>
      <c r="H91" s="58"/>
      <c r="I91" s="58"/>
      <c r="J91" s="58"/>
      <c r="K91" s="58"/>
      <c r="L91" s="48"/>
    </row>
    <row r="92" spans="2:12">
      <c r="B92" s="49" t="s">
        <v>5160</v>
      </c>
      <c r="C92" s="41" t="s">
        <v>3066</v>
      </c>
      <c r="D92" s="64"/>
      <c r="E92" s="58"/>
      <c r="F92" s="58"/>
      <c r="G92" s="58"/>
      <c r="H92" s="58"/>
      <c r="I92" s="58"/>
      <c r="J92" s="58"/>
      <c r="K92" s="58"/>
      <c r="L92" s="48"/>
    </row>
    <row r="93" spans="2:12">
      <c r="B93" s="49" t="s">
        <v>5161</v>
      </c>
      <c r="C93" s="41" t="s">
        <v>3068</v>
      </c>
      <c r="D93" s="64"/>
      <c r="E93" s="58"/>
      <c r="F93" s="58"/>
      <c r="G93" s="58"/>
      <c r="H93" s="58"/>
      <c r="I93" s="58"/>
      <c r="J93" s="58"/>
      <c r="K93" s="58"/>
      <c r="L93" s="48"/>
    </row>
    <row r="94" spans="2:12">
      <c r="B94" s="49" t="s">
        <v>5162</v>
      </c>
      <c r="C94" s="41" t="s">
        <v>3070</v>
      </c>
      <c r="D94" s="64"/>
      <c r="E94" s="58"/>
      <c r="F94" s="58"/>
      <c r="G94" s="58"/>
      <c r="H94" s="58"/>
      <c r="I94" s="58"/>
      <c r="J94" s="58"/>
      <c r="K94" s="58"/>
      <c r="L94" s="48"/>
    </row>
    <row r="95" spans="2:12">
      <c r="B95" s="49" t="s">
        <v>5163</v>
      </c>
      <c r="C95" s="41" t="s">
        <v>3017</v>
      </c>
      <c r="D95" s="64"/>
      <c r="E95" s="58"/>
      <c r="F95" s="58"/>
      <c r="G95" s="58"/>
      <c r="H95" s="58"/>
      <c r="I95" s="58"/>
      <c r="J95" s="58"/>
      <c r="K95" s="58"/>
      <c r="L95" s="48"/>
    </row>
    <row r="96" spans="2:12">
      <c r="B96" s="49" t="s">
        <v>5164</v>
      </c>
      <c r="C96" s="41" t="s">
        <v>3019</v>
      </c>
      <c r="D96" s="64"/>
      <c r="E96" s="58"/>
      <c r="F96" s="58"/>
      <c r="G96" s="58"/>
      <c r="H96" s="58"/>
      <c r="I96" s="58"/>
      <c r="J96" s="58"/>
      <c r="K96" s="58"/>
      <c r="L96" s="48"/>
    </row>
    <row r="97" spans="2:27">
      <c r="B97" s="49" t="s">
        <v>5165</v>
      </c>
      <c r="C97" s="41" t="s">
        <v>3021</v>
      </c>
      <c r="D97" s="64"/>
      <c r="E97" s="58"/>
      <c r="F97" s="58"/>
      <c r="G97" s="58"/>
      <c r="H97" s="58"/>
      <c r="I97" s="58"/>
      <c r="J97" s="58"/>
      <c r="K97" s="58"/>
      <c r="L97" s="48"/>
    </row>
    <row r="98" spans="2:27">
      <c r="B98" s="49" t="s">
        <v>5166</v>
      </c>
      <c r="C98" s="41" t="s">
        <v>3023</v>
      </c>
      <c r="D98" s="64"/>
      <c r="E98" s="58"/>
      <c r="F98" s="58"/>
      <c r="G98" s="58"/>
      <c r="H98" s="58"/>
      <c r="I98" s="58"/>
      <c r="J98" s="58"/>
      <c r="K98" s="58"/>
      <c r="L98" s="48"/>
    </row>
    <row r="99" spans="2:27">
      <c r="B99" s="49" t="s">
        <v>5167</v>
      </c>
      <c r="C99" s="41" t="s">
        <v>3072</v>
      </c>
      <c r="D99" s="64"/>
      <c r="E99" s="58"/>
      <c r="F99" s="58"/>
      <c r="G99" s="58"/>
      <c r="H99" s="58"/>
      <c r="I99" s="56"/>
      <c r="J99" s="56"/>
      <c r="K99" s="56"/>
      <c r="L99" s="46"/>
    </row>
    <row r="100" spans="2:27">
      <c r="B100" s="49" t="s">
        <v>5168</v>
      </c>
      <c r="C100" s="41" t="s">
        <v>3118</v>
      </c>
      <c r="D100" s="65"/>
      <c r="E100" s="58"/>
      <c r="F100" s="58"/>
      <c r="G100" s="58"/>
      <c r="H100" s="48"/>
      <c r="I100" s="60"/>
      <c r="J100" s="60"/>
      <c r="K100" s="60"/>
      <c r="L100" s="60"/>
    </row>
    <row r="101" spans="2:27">
      <c r="B101" s="49" t="s">
        <v>5169</v>
      </c>
      <c r="C101" s="44" t="s">
        <v>3120</v>
      </c>
      <c r="D101" s="58"/>
      <c r="E101" s="58"/>
      <c r="F101" s="58"/>
      <c r="G101" s="58"/>
      <c r="H101" s="48"/>
      <c r="I101" s="60"/>
      <c r="J101" s="63"/>
      <c r="K101" s="63"/>
      <c r="L101" s="60"/>
    </row>
    <row r="102" spans="2:27">
      <c r="B102" s="49" t="s">
        <v>5170</v>
      </c>
      <c r="C102" s="44" t="s">
        <v>3122</v>
      </c>
      <c r="D102" s="58"/>
      <c r="E102" s="58"/>
      <c r="F102" s="58"/>
      <c r="G102" s="58"/>
      <c r="H102" s="48"/>
      <c r="I102" s="64"/>
      <c r="J102" s="58"/>
      <c r="K102" s="48"/>
      <c r="L102" s="60"/>
    </row>
    <row r="103" spans="2:27">
      <c r="B103" s="49" t="s">
        <v>5171</v>
      </c>
      <c r="C103" s="44" t="s">
        <v>3124</v>
      </c>
      <c r="D103" s="56"/>
      <c r="E103" s="56"/>
      <c r="F103" s="56"/>
      <c r="G103" s="56"/>
      <c r="H103" s="46"/>
      <c r="I103" s="64"/>
      <c r="J103" s="56"/>
      <c r="K103" s="46"/>
      <c r="L103" s="60"/>
    </row>
    <row r="105" spans="2:27">
      <c r="Z105" s="13" t="str">
        <f>Show!$B$157&amp;Show!$B$157&amp;"S.27.01.04.02 Rows {"&amp;COLUMN($C$1)&amp;"}"</f>
        <v>!!S.27.01.04.02 Rows {3}</v>
      </c>
      <c r="AA105" s="13" t="str">
        <f>Show!$B$157&amp;Show!$B$157&amp;"S.27.01.04.02 Columns {"&amp;COLUMN($L$1)&amp;"}"</f>
        <v>!!S.27.01.04.02 Columns {12}</v>
      </c>
    </row>
    <row r="107" spans="2:27" ht="18.75">
      <c r="B107" s="88" t="s">
        <v>5548</v>
      </c>
      <c r="C107" s="87"/>
      <c r="D107" s="87"/>
      <c r="E107" s="87"/>
      <c r="F107" s="87"/>
      <c r="G107" s="87"/>
      <c r="H107" s="87"/>
      <c r="I107" s="87"/>
      <c r="J107" s="87"/>
      <c r="K107" s="87"/>
      <c r="L107" s="87"/>
    </row>
    <row r="111" spans="2:27">
      <c r="D111" s="92" t="s">
        <v>2877</v>
      </c>
      <c r="E111" s="93"/>
      <c r="F111" s="93"/>
      <c r="G111" s="93"/>
      <c r="H111" s="93"/>
      <c r="I111" s="93"/>
      <c r="J111" s="93"/>
      <c r="K111" s="94"/>
    </row>
    <row r="112" spans="2:27">
      <c r="D112" s="95"/>
      <c r="E112" s="96"/>
      <c r="F112" s="96"/>
      <c r="G112" s="96"/>
      <c r="H112" s="96"/>
      <c r="I112" s="96"/>
      <c r="J112" s="96"/>
      <c r="K112" s="97"/>
    </row>
    <row r="113" spans="2:27">
      <c r="D113" s="89" t="s">
        <v>5114</v>
      </c>
      <c r="E113" s="89" t="s">
        <v>5115</v>
      </c>
      <c r="F113" s="89" t="s">
        <v>5116</v>
      </c>
      <c r="G113" s="89" t="s">
        <v>5117</v>
      </c>
      <c r="H113" s="89" t="s">
        <v>5119</v>
      </c>
      <c r="I113" s="89" t="s">
        <v>5120</v>
      </c>
      <c r="J113" s="89" t="s">
        <v>5121</v>
      </c>
      <c r="K113" s="89" t="s">
        <v>5122</v>
      </c>
    </row>
    <row r="114" spans="2:27">
      <c r="D114" s="91"/>
      <c r="E114" s="91"/>
      <c r="F114" s="91"/>
      <c r="G114" s="91"/>
      <c r="H114" s="91"/>
      <c r="I114" s="91"/>
      <c r="J114" s="91"/>
      <c r="K114" s="91"/>
    </row>
    <row r="115" spans="2:27">
      <c r="D115" s="45" t="s">
        <v>3375</v>
      </c>
      <c r="E115" s="45" t="s">
        <v>3475</v>
      </c>
      <c r="F115" s="45" t="s">
        <v>3477</v>
      </c>
      <c r="G115" s="45" t="s">
        <v>3479</v>
      </c>
      <c r="H115" s="45" t="s">
        <v>3594</v>
      </c>
      <c r="I115" s="45" t="s">
        <v>3596</v>
      </c>
      <c r="J115" s="45" t="s">
        <v>3599</v>
      </c>
      <c r="K115" s="45" t="s">
        <v>3481</v>
      </c>
      <c r="Z115" s="13" t="str">
        <f>Show!$B$157&amp;"S.27.01.04.03 Rows {"&amp;COLUMN($C$1)&amp;"}"&amp;"@ForceFilingCode:true"</f>
        <v>!S.27.01.04.03 Rows {3}@ForceFilingCode:true</v>
      </c>
      <c r="AA115" s="13" t="str">
        <f>Show!$B$157&amp;"S.27.01.04.03 Columns {"&amp;COLUMN($D$1)&amp;"}"</f>
        <v>!S.27.01.04.03 Columns {4}</v>
      </c>
    </row>
    <row r="116" spans="2:27">
      <c r="B116" s="43" t="s">
        <v>2880</v>
      </c>
      <c r="C116" s="44" t="s">
        <v>2878</v>
      </c>
      <c r="D116" s="58"/>
      <c r="E116" s="67"/>
      <c r="F116" s="67"/>
      <c r="G116" s="67"/>
      <c r="H116" s="67"/>
      <c r="I116" s="67"/>
      <c r="J116" s="67"/>
      <c r="K116" s="59"/>
    </row>
    <row r="117" spans="2:27">
      <c r="B117" s="47" t="s">
        <v>5173</v>
      </c>
      <c r="C117" s="44" t="s">
        <v>2878</v>
      </c>
      <c r="D117" s="58"/>
      <c r="E117" s="66"/>
      <c r="F117" s="66"/>
      <c r="G117" s="66"/>
      <c r="H117" s="66"/>
      <c r="I117" s="66"/>
      <c r="J117" s="66"/>
      <c r="K117" s="57"/>
    </row>
    <row r="118" spans="2:27">
      <c r="B118" s="49" t="s">
        <v>5124</v>
      </c>
      <c r="C118" s="44" t="s">
        <v>3126</v>
      </c>
      <c r="D118" s="48"/>
      <c r="E118" s="60"/>
      <c r="F118" s="60"/>
      <c r="G118" s="70"/>
      <c r="H118" s="60"/>
      <c r="I118" s="60"/>
      <c r="J118" s="60"/>
      <c r="K118" s="60"/>
    </row>
    <row r="119" spans="2:27">
      <c r="B119" s="49" t="s">
        <v>5125</v>
      </c>
      <c r="C119" s="44" t="s">
        <v>3128</v>
      </c>
      <c r="D119" s="48"/>
      <c r="E119" s="60"/>
      <c r="F119" s="60"/>
      <c r="G119" s="70"/>
      <c r="H119" s="60"/>
      <c r="I119" s="60"/>
      <c r="J119" s="60"/>
      <c r="K119" s="60"/>
    </row>
    <row r="120" spans="2:27">
      <c r="B120" s="49" t="s">
        <v>5174</v>
      </c>
      <c r="C120" s="44" t="s">
        <v>3130</v>
      </c>
      <c r="D120" s="48"/>
      <c r="E120" s="60"/>
      <c r="F120" s="60"/>
      <c r="G120" s="70"/>
      <c r="H120" s="60"/>
      <c r="I120" s="60"/>
      <c r="J120" s="60"/>
      <c r="K120" s="60"/>
    </row>
    <row r="121" spans="2:27">
      <c r="B121" s="49" t="s">
        <v>5175</v>
      </c>
      <c r="C121" s="44" t="s">
        <v>3132</v>
      </c>
      <c r="D121" s="48"/>
      <c r="E121" s="60"/>
      <c r="F121" s="60"/>
      <c r="G121" s="70"/>
      <c r="H121" s="60"/>
      <c r="I121" s="60"/>
      <c r="J121" s="60"/>
      <c r="K121" s="60"/>
    </row>
    <row r="122" spans="2:27">
      <c r="B122" s="49" t="s">
        <v>5176</v>
      </c>
      <c r="C122" s="44" t="s">
        <v>3134</v>
      </c>
      <c r="D122" s="48"/>
      <c r="E122" s="60"/>
      <c r="F122" s="60"/>
      <c r="G122" s="70"/>
      <c r="H122" s="60"/>
      <c r="I122" s="60"/>
      <c r="J122" s="60"/>
      <c r="K122" s="60"/>
    </row>
    <row r="123" spans="2:27">
      <c r="B123" s="49" t="s">
        <v>5126</v>
      </c>
      <c r="C123" s="44" t="s">
        <v>3136</v>
      </c>
      <c r="D123" s="48"/>
      <c r="E123" s="60"/>
      <c r="F123" s="60"/>
      <c r="G123" s="70"/>
      <c r="H123" s="60"/>
      <c r="I123" s="60"/>
      <c r="J123" s="60"/>
      <c r="K123" s="60"/>
    </row>
    <row r="124" spans="2:27">
      <c r="B124" s="49" t="s">
        <v>5127</v>
      </c>
      <c r="C124" s="44" t="s">
        <v>3138</v>
      </c>
      <c r="D124" s="48"/>
      <c r="E124" s="60"/>
      <c r="F124" s="60"/>
      <c r="G124" s="70"/>
      <c r="H124" s="60"/>
      <c r="I124" s="60"/>
      <c r="J124" s="60"/>
      <c r="K124" s="60"/>
    </row>
    <row r="125" spans="2:27" ht="30">
      <c r="B125" s="49" t="s">
        <v>5131</v>
      </c>
      <c r="C125" s="44" t="s">
        <v>3140</v>
      </c>
      <c r="D125" s="48"/>
      <c r="E125" s="60"/>
      <c r="F125" s="60"/>
      <c r="G125" s="70"/>
      <c r="H125" s="60"/>
      <c r="I125" s="60"/>
      <c r="J125" s="60"/>
      <c r="K125" s="60"/>
    </row>
    <row r="126" spans="2:27">
      <c r="B126" s="49" t="s">
        <v>5132</v>
      </c>
      <c r="C126" s="44" t="s">
        <v>3142</v>
      </c>
      <c r="D126" s="48"/>
      <c r="E126" s="60"/>
      <c r="F126" s="60"/>
      <c r="G126" s="70"/>
      <c r="H126" s="60"/>
      <c r="I126" s="60"/>
      <c r="J126" s="60"/>
      <c r="K126" s="60"/>
    </row>
    <row r="127" spans="2:27">
      <c r="B127" s="49" t="s">
        <v>5177</v>
      </c>
      <c r="C127" s="44" t="s">
        <v>3144</v>
      </c>
      <c r="D127" s="48"/>
      <c r="E127" s="60"/>
      <c r="F127" s="60"/>
      <c r="G127" s="70"/>
      <c r="H127" s="60"/>
      <c r="I127" s="60"/>
      <c r="J127" s="60"/>
      <c r="K127" s="60"/>
    </row>
    <row r="128" spans="2:27">
      <c r="B128" s="49" t="s">
        <v>5133</v>
      </c>
      <c r="C128" s="44" t="s">
        <v>3146</v>
      </c>
      <c r="D128" s="48"/>
      <c r="E128" s="60"/>
      <c r="F128" s="60"/>
      <c r="G128" s="70"/>
      <c r="H128" s="60"/>
      <c r="I128" s="60"/>
      <c r="J128" s="60"/>
      <c r="K128" s="60"/>
    </row>
    <row r="129" spans="2:11">
      <c r="B129" s="49" t="s">
        <v>5178</v>
      </c>
      <c r="C129" s="44" t="s">
        <v>3148</v>
      </c>
      <c r="D129" s="48"/>
      <c r="E129" s="60"/>
      <c r="F129" s="60"/>
      <c r="G129" s="70"/>
      <c r="H129" s="60"/>
      <c r="I129" s="60"/>
      <c r="J129" s="60"/>
      <c r="K129" s="60"/>
    </row>
    <row r="130" spans="2:11">
      <c r="B130" s="49" t="s">
        <v>5179</v>
      </c>
      <c r="C130" s="44" t="s">
        <v>3091</v>
      </c>
      <c r="D130" s="48"/>
      <c r="E130" s="60"/>
      <c r="F130" s="60"/>
      <c r="G130" s="70"/>
      <c r="H130" s="60"/>
      <c r="I130" s="60"/>
      <c r="J130" s="60"/>
      <c r="K130" s="60"/>
    </row>
    <row r="131" spans="2:11">
      <c r="B131" s="49" t="s">
        <v>5180</v>
      </c>
      <c r="C131" s="44" t="s">
        <v>3098</v>
      </c>
      <c r="D131" s="48"/>
      <c r="E131" s="60"/>
      <c r="F131" s="60"/>
      <c r="G131" s="70"/>
      <c r="H131" s="60"/>
      <c r="I131" s="60"/>
      <c r="J131" s="60"/>
      <c r="K131" s="60"/>
    </row>
    <row r="132" spans="2:11">
      <c r="B132" s="49" t="s">
        <v>5181</v>
      </c>
      <c r="C132" s="44" t="s">
        <v>3093</v>
      </c>
      <c r="D132" s="48"/>
      <c r="E132" s="60"/>
      <c r="F132" s="60"/>
      <c r="G132" s="70"/>
      <c r="H132" s="60"/>
      <c r="I132" s="60"/>
      <c r="J132" s="60"/>
      <c r="K132" s="60"/>
    </row>
    <row r="133" spans="2:11">
      <c r="B133" s="49" t="s">
        <v>5182</v>
      </c>
      <c r="C133" s="44" t="s">
        <v>3100</v>
      </c>
      <c r="D133" s="48"/>
      <c r="E133" s="60"/>
      <c r="F133" s="60"/>
      <c r="G133" s="70"/>
      <c r="H133" s="60"/>
      <c r="I133" s="60"/>
      <c r="J133" s="60"/>
      <c r="K133" s="60"/>
    </row>
    <row r="134" spans="2:11">
      <c r="B134" s="49" t="s">
        <v>5129</v>
      </c>
      <c r="C134" s="44" t="s">
        <v>3200</v>
      </c>
      <c r="D134" s="48"/>
      <c r="E134" s="60"/>
      <c r="F134" s="60"/>
      <c r="G134" s="70"/>
      <c r="H134" s="60"/>
      <c r="I134" s="60"/>
      <c r="J134" s="60"/>
      <c r="K134" s="60"/>
    </row>
    <row r="135" spans="2:11">
      <c r="B135" s="49" t="s">
        <v>5145</v>
      </c>
      <c r="C135" s="44" t="s">
        <v>3315</v>
      </c>
      <c r="D135" s="48"/>
      <c r="E135" s="60"/>
      <c r="F135" s="60"/>
      <c r="G135" s="70"/>
      <c r="H135" s="60"/>
      <c r="I135" s="60"/>
      <c r="J135" s="60"/>
      <c r="K135" s="60"/>
    </row>
    <row r="136" spans="2:11">
      <c r="B136" s="49" t="s">
        <v>5146</v>
      </c>
      <c r="C136" s="44" t="s">
        <v>3496</v>
      </c>
      <c r="D136" s="48"/>
      <c r="E136" s="60"/>
      <c r="F136" s="60"/>
      <c r="G136" s="70"/>
      <c r="H136" s="60"/>
      <c r="I136" s="60"/>
      <c r="J136" s="60"/>
      <c r="K136" s="60"/>
    </row>
    <row r="137" spans="2:11">
      <c r="B137" s="49" t="s">
        <v>5147</v>
      </c>
      <c r="C137" s="44" t="s">
        <v>3497</v>
      </c>
      <c r="D137" s="48"/>
      <c r="E137" s="60"/>
      <c r="F137" s="60"/>
      <c r="G137" s="70"/>
      <c r="H137" s="60"/>
      <c r="I137" s="60"/>
      <c r="J137" s="60"/>
      <c r="K137" s="60"/>
    </row>
    <row r="138" spans="2:11">
      <c r="B138" s="49" t="s">
        <v>5183</v>
      </c>
      <c r="C138" s="44" t="s">
        <v>3498</v>
      </c>
      <c r="D138" s="46"/>
      <c r="E138" s="63"/>
      <c r="F138" s="63"/>
      <c r="G138" s="76"/>
      <c r="H138" s="63"/>
      <c r="I138" s="63"/>
      <c r="J138" s="63"/>
      <c r="K138" s="63"/>
    </row>
    <row r="139" spans="2:11">
      <c r="B139" s="49" t="s">
        <v>5150</v>
      </c>
      <c r="C139" s="41" t="s">
        <v>3499</v>
      </c>
      <c r="D139" s="64"/>
      <c r="E139" s="58"/>
      <c r="F139" s="58"/>
      <c r="G139" s="58"/>
      <c r="H139" s="58"/>
      <c r="I139" s="58"/>
      <c r="J139" s="58"/>
      <c r="K139" s="48"/>
    </row>
    <row r="140" spans="2:11">
      <c r="B140" s="49" t="s">
        <v>5151</v>
      </c>
      <c r="C140" s="41" t="s">
        <v>4939</v>
      </c>
      <c r="D140" s="64"/>
      <c r="E140" s="58"/>
      <c r="F140" s="58"/>
      <c r="G140" s="58"/>
      <c r="H140" s="58"/>
      <c r="I140" s="58"/>
      <c r="J140" s="58"/>
      <c r="K140" s="48"/>
    </row>
    <row r="141" spans="2:11">
      <c r="B141" s="49" t="s">
        <v>5152</v>
      </c>
      <c r="C141" s="41" t="s">
        <v>5184</v>
      </c>
      <c r="D141" s="64"/>
      <c r="E141" s="58"/>
      <c r="F141" s="58"/>
      <c r="G141" s="58"/>
      <c r="H141" s="58"/>
      <c r="I141" s="58"/>
      <c r="J141" s="58"/>
      <c r="K141" s="48"/>
    </row>
    <row r="142" spans="2:11">
      <c r="B142" s="49" t="s">
        <v>5153</v>
      </c>
      <c r="C142" s="41" t="s">
        <v>5185</v>
      </c>
      <c r="D142" s="64"/>
      <c r="E142" s="58"/>
      <c r="F142" s="58"/>
      <c r="G142" s="58"/>
      <c r="H142" s="58"/>
      <c r="I142" s="58"/>
      <c r="J142" s="58"/>
      <c r="K142" s="48"/>
    </row>
    <row r="143" spans="2:11">
      <c r="B143" s="49" t="s">
        <v>5154</v>
      </c>
      <c r="C143" s="41" t="s">
        <v>5186</v>
      </c>
      <c r="D143" s="64"/>
      <c r="E143" s="58"/>
      <c r="F143" s="58"/>
      <c r="G143" s="58"/>
      <c r="H143" s="58"/>
      <c r="I143" s="58"/>
      <c r="J143" s="58"/>
      <c r="K143" s="48"/>
    </row>
    <row r="144" spans="2:11">
      <c r="B144" s="49" t="s">
        <v>5155</v>
      </c>
      <c r="C144" s="41" t="s">
        <v>5187</v>
      </c>
      <c r="D144" s="64"/>
      <c r="E144" s="58"/>
      <c r="F144" s="58"/>
      <c r="G144" s="58"/>
      <c r="H144" s="58"/>
      <c r="I144" s="58"/>
      <c r="J144" s="58"/>
      <c r="K144" s="48"/>
    </row>
    <row r="145" spans="2:11">
      <c r="B145" s="49" t="s">
        <v>5156</v>
      </c>
      <c r="C145" s="41" t="s">
        <v>3500</v>
      </c>
      <c r="D145" s="64"/>
      <c r="E145" s="58"/>
      <c r="F145" s="58"/>
      <c r="G145" s="58"/>
      <c r="H145" s="58"/>
      <c r="I145" s="58"/>
      <c r="J145" s="58"/>
      <c r="K145" s="48"/>
    </row>
    <row r="146" spans="2:11">
      <c r="B146" s="49" t="s">
        <v>5157</v>
      </c>
      <c r="C146" s="41" t="s">
        <v>4507</v>
      </c>
      <c r="D146" s="64"/>
      <c r="E146" s="58"/>
      <c r="F146" s="58"/>
      <c r="G146" s="58"/>
      <c r="H146" s="58"/>
      <c r="I146" s="58"/>
      <c r="J146" s="58"/>
      <c r="K146" s="48"/>
    </row>
    <row r="147" spans="2:11">
      <c r="B147" s="49" t="s">
        <v>5158</v>
      </c>
      <c r="C147" s="41" t="s">
        <v>4508</v>
      </c>
      <c r="D147" s="64"/>
      <c r="E147" s="58"/>
      <c r="F147" s="58"/>
      <c r="G147" s="58"/>
      <c r="H147" s="58"/>
      <c r="I147" s="58"/>
      <c r="J147" s="58"/>
      <c r="K147" s="48"/>
    </row>
    <row r="148" spans="2:11">
      <c r="B148" s="49" t="s">
        <v>5159</v>
      </c>
      <c r="C148" s="41" t="s">
        <v>5188</v>
      </c>
      <c r="D148" s="64"/>
      <c r="E148" s="58"/>
      <c r="F148" s="58"/>
      <c r="G148" s="58"/>
      <c r="H148" s="58"/>
      <c r="I148" s="58"/>
      <c r="J148" s="58"/>
      <c r="K148" s="48"/>
    </row>
    <row r="149" spans="2:11">
      <c r="B149" s="49" t="s">
        <v>5160</v>
      </c>
      <c r="C149" s="41" t="s">
        <v>5189</v>
      </c>
      <c r="D149" s="64"/>
      <c r="E149" s="58"/>
      <c r="F149" s="58"/>
      <c r="G149" s="58"/>
      <c r="H149" s="58"/>
      <c r="I149" s="58"/>
      <c r="J149" s="58"/>
      <c r="K149" s="48"/>
    </row>
    <row r="150" spans="2:11">
      <c r="B150" s="49" t="s">
        <v>5161</v>
      </c>
      <c r="C150" s="41" t="s">
        <v>5190</v>
      </c>
      <c r="D150" s="64"/>
      <c r="E150" s="58"/>
      <c r="F150" s="58"/>
      <c r="G150" s="58"/>
      <c r="H150" s="58"/>
      <c r="I150" s="58"/>
      <c r="J150" s="58"/>
      <c r="K150" s="48"/>
    </row>
    <row r="151" spans="2:11">
      <c r="B151" s="49" t="s">
        <v>5162</v>
      </c>
      <c r="C151" s="41" t="s">
        <v>5191</v>
      </c>
      <c r="D151" s="64"/>
      <c r="E151" s="58"/>
      <c r="F151" s="58"/>
      <c r="G151" s="58"/>
      <c r="H151" s="58"/>
      <c r="I151" s="58"/>
      <c r="J151" s="58"/>
      <c r="K151" s="48"/>
    </row>
    <row r="152" spans="2:11">
      <c r="B152" s="49" t="s">
        <v>5163</v>
      </c>
      <c r="C152" s="41" t="s">
        <v>5192</v>
      </c>
      <c r="D152" s="64"/>
      <c r="E152" s="58"/>
      <c r="F152" s="58"/>
      <c r="G152" s="58"/>
      <c r="H152" s="58"/>
      <c r="I152" s="58"/>
      <c r="J152" s="58"/>
      <c r="K152" s="48"/>
    </row>
    <row r="153" spans="2:11">
      <c r="B153" s="49" t="s">
        <v>5164</v>
      </c>
      <c r="C153" s="41" t="s">
        <v>5193</v>
      </c>
      <c r="D153" s="64"/>
      <c r="E153" s="58"/>
      <c r="F153" s="58"/>
      <c r="G153" s="58"/>
      <c r="H153" s="58"/>
      <c r="I153" s="58"/>
      <c r="J153" s="58"/>
      <c r="K153" s="48"/>
    </row>
    <row r="154" spans="2:11">
      <c r="B154" s="49" t="s">
        <v>5165</v>
      </c>
      <c r="C154" s="41" t="s">
        <v>5194</v>
      </c>
      <c r="D154" s="64"/>
      <c r="E154" s="58"/>
      <c r="F154" s="58"/>
      <c r="G154" s="58"/>
      <c r="H154" s="58"/>
      <c r="I154" s="58"/>
      <c r="J154" s="58"/>
      <c r="K154" s="48"/>
    </row>
    <row r="155" spans="2:11">
      <c r="B155" s="49" t="s">
        <v>5166</v>
      </c>
      <c r="C155" s="41" t="s">
        <v>3502</v>
      </c>
      <c r="D155" s="64"/>
      <c r="E155" s="58"/>
      <c r="F155" s="58"/>
      <c r="G155" s="58"/>
      <c r="H155" s="58"/>
      <c r="I155" s="58"/>
      <c r="J155" s="58"/>
      <c r="K155" s="48"/>
    </row>
    <row r="156" spans="2:11">
      <c r="B156" s="49" t="s">
        <v>5167</v>
      </c>
      <c r="C156" s="41" t="s">
        <v>5195</v>
      </c>
      <c r="D156" s="64"/>
      <c r="E156" s="58"/>
      <c r="F156" s="58"/>
      <c r="G156" s="58"/>
      <c r="H156" s="56"/>
      <c r="I156" s="56"/>
      <c r="J156" s="56"/>
      <c r="K156" s="46"/>
    </row>
    <row r="157" spans="2:11">
      <c r="B157" s="49" t="s">
        <v>5196</v>
      </c>
      <c r="C157" s="41" t="s">
        <v>5197</v>
      </c>
      <c r="D157" s="65"/>
      <c r="E157" s="58"/>
      <c r="F157" s="58"/>
      <c r="G157" s="48"/>
      <c r="H157" s="60"/>
      <c r="I157" s="60"/>
      <c r="J157" s="60"/>
      <c r="K157" s="60"/>
    </row>
    <row r="158" spans="2:11">
      <c r="B158" s="49" t="s">
        <v>5198</v>
      </c>
      <c r="C158" s="44" t="s">
        <v>5199</v>
      </c>
      <c r="D158" s="58"/>
      <c r="E158" s="58"/>
      <c r="F158" s="58"/>
      <c r="G158" s="48"/>
      <c r="H158" s="60"/>
      <c r="I158" s="63"/>
      <c r="J158" s="63"/>
      <c r="K158" s="60"/>
    </row>
    <row r="159" spans="2:11">
      <c r="B159" s="49" t="s">
        <v>5170</v>
      </c>
      <c r="C159" s="44" t="s">
        <v>5200</v>
      </c>
      <c r="D159" s="58"/>
      <c r="E159" s="58"/>
      <c r="F159" s="58"/>
      <c r="G159" s="48"/>
      <c r="H159" s="64"/>
      <c r="I159" s="58"/>
      <c r="J159" s="48"/>
      <c r="K159" s="60"/>
    </row>
    <row r="160" spans="2:11">
      <c r="B160" s="49" t="s">
        <v>5201</v>
      </c>
      <c r="C160" s="44" t="s">
        <v>5202</v>
      </c>
      <c r="D160" s="56"/>
      <c r="E160" s="56"/>
      <c r="F160" s="56"/>
      <c r="G160" s="46"/>
      <c r="H160" s="64"/>
      <c r="I160" s="56"/>
      <c r="J160" s="46"/>
      <c r="K160" s="60"/>
    </row>
    <row r="162" spans="2:27">
      <c r="Z162" s="13" t="str">
        <f>Show!$B$157&amp;Show!$B$157&amp;"S.27.01.04.03 Rows {"&amp;COLUMN($C$1)&amp;"}"</f>
        <v>!!S.27.01.04.03 Rows {3}</v>
      </c>
      <c r="AA162" s="13" t="str">
        <f>Show!$B$157&amp;Show!$B$157&amp;"S.27.01.04.03 Columns {"&amp;COLUMN($K$1)&amp;"}"</f>
        <v>!!S.27.01.04.03 Columns {11}</v>
      </c>
    </row>
    <row r="164" spans="2:27" ht="18.75">
      <c r="B164" s="88" t="s">
        <v>5549</v>
      </c>
      <c r="C164" s="87"/>
      <c r="D164" s="87"/>
      <c r="E164" s="87"/>
      <c r="F164" s="87"/>
      <c r="G164" s="87"/>
      <c r="H164" s="87"/>
      <c r="I164" s="87"/>
      <c r="J164" s="87"/>
      <c r="K164" s="87"/>
      <c r="L164" s="87"/>
    </row>
    <row r="168" spans="2:27">
      <c r="D168" s="92" t="s">
        <v>2877</v>
      </c>
      <c r="E168" s="93"/>
      <c r="F168" s="93"/>
      <c r="G168" s="93"/>
      <c r="H168" s="93"/>
      <c r="I168" s="93"/>
      <c r="J168" s="93"/>
      <c r="K168" s="93"/>
      <c r="L168" s="94"/>
    </row>
    <row r="169" spans="2:27">
      <c r="D169" s="95"/>
      <c r="E169" s="96"/>
      <c r="F169" s="96"/>
      <c r="G169" s="96"/>
      <c r="H169" s="96"/>
      <c r="I169" s="96"/>
      <c r="J169" s="96"/>
      <c r="K169" s="96"/>
      <c r="L169" s="97"/>
    </row>
    <row r="170" spans="2:27">
      <c r="D170" s="89" t="s">
        <v>5114</v>
      </c>
      <c r="E170" s="89" t="s">
        <v>5115</v>
      </c>
      <c r="F170" s="89" t="s">
        <v>5116</v>
      </c>
      <c r="G170" s="89" t="s">
        <v>5117</v>
      </c>
      <c r="H170" s="89" t="s">
        <v>5118</v>
      </c>
      <c r="I170" s="89" t="s">
        <v>5119</v>
      </c>
      <c r="J170" s="89" t="s">
        <v>5120</v>
      </c>
      <c r="K170" s="89" t="s">
        <v>5121</v>
      </c>
      <c r="L170" s="89" t="s">
        <v>5122</v>
      </c>
    </row>
    <row r="171" spans="2:27">
      <c r="D171" s="91"/>
      <c r="E171" s="91"/>
      <c r="F171" s="91"/>
      <c r="G171" s="91"/>
      <c r="H171" s="91"/>
      <c r="I171" s="91"/>
      <c r="J171" s="91"/>
      <c r="K171" s="91"/>
      <c r="L171" s="91"/>
    </row>
    <row r="172" spans="2:27">
      <c r="D172" s="45" t="s">
        <v>3508</v>
      </c>
      <c r="E172" s="45" t="s">
        <v>3509</v>
      </c>
      <c r="F172" s="45" t="s">
        <v>3511</v>
      </c>
      <c r="G172" s="45" t="s">
        <v>3513</v>
      </c>
      <c r="H172" s="45" t="s">
        <v>3514</v>
      </c>
      <c r="I172" s="45" t="s">
        <v>3515</v>
      </c>
      <c r="J172" s="45" t="s">
        <v>3517</v>
      </c>
      <c r="K172" s="45" t="s">
        <v>3518</v>
      </c>
      <c r="L172" s="45" t="s">
        <v>3608</v>
      </c>
      <c r="Z172" s="13" t="str">
        <f>Show!$B$157&amp;"S.27.01.04.04 Rows {"&amp;COLUMN($C$1)&amp;"}"&amp;"@ForceFilingCode:true"</f>
        <v>!S.27.01.04.04 Rows {3}@ForceFilingCode:true</v>
      </c>
      <c r="AA172" s="13" t="str">
        <f>Show!$B$157&amp;"S.27.01.04.04 Columns {"&amp;COLUMN($D$1)&amp;"}"</f>
        <v>!S.27.01.04.04 Columns {4}</v>
      </c>
    </row>
    <row r="173" spans="2:27">
      <c r="B173" s="43" t="s">
        <v>2880</v>
      </c>
      <c r="C173" s="44" t="s">
        <v>2878</v>
      </c>
      <c r="D173" s="58"/>
      <c r="E173" s="67"/>
      <c r="F173" s="67"/>
      <c r="G173" s="67"/>
      <c r="H173" s="67"/>
      <c r="I173" s="67"/>
      <c r="J173" s="67"/>
      <c r="K173" s="67"/>
      <c r="L173" s="59"/>
    </row>
    <row r="174" spans="2:27">
      <c r="B174" s="47" t="s">
        <v>5204</v>
      </c>
      <c r="C174" s="44" t="s">
        <v>2878</v>
      </c>
      <c r="D174" s="58"/>
      <c r="E174" s="66"/>
      <c r="F174" s="66"/>
      <c r="G174" s="66"/>
      <c r="H174" s="66"/>
      <c r="I174" s="66"/>
      <c r="J174" s="66"/>
      <c r="K174" s="66"/>
      <c r="L174" s="57"/>
    </row>
    <row r="175" spans="2:27">
      <c r="B175" s="49" t="s">
        <v>5124</v>
      </c>
      <c r="C175" s="44" t="s">
        <v>5205</v>
      </c>
      <c r="D175" s="48"/>
      <c r="E175" s="60"/>
      <c r="F175" s="60"/>
      <c r="G175" s="70"/>
      <c r="H175" s="51"/>
      <c r="I175" s="60"/>
      <c r="J175" s="60"/>
      <c r="K175" s="60"/>
      <c r="L175" s="60"/>
    </row>
    <row r="176" spans="2:27">
      <c r="B176" s="49" t="s">
        <v>5125</v>
      </c>
      <c r="C176" s="44" t="s">
        <v>5206</v>
      </c>
      <c r="D176" s="48"/>
      <c r="E176" s="60"/>
      <c r="F176" s="60"/>
      <c r="G176" s="70"/>
      <c r="H176" s="51"/>
      <c r="I176" s="60"/>
      <c r="J176" s="60"/>
      <c r="K176" s="60"/>
      <c r="L176" s="60"/>
    </row>
    <row r="177" spans="2:12">
      <c r="B177" s="49" t="s">
        <v>5174</v>
      </c>
      <c r="C177" s="44" t="s">
        <v>5207</v>
      </c>
      <c r="D177" s="48"/>
      <c r="E177" s="60"/>
      <c r="F177" s="60"/>
      <c r="G177" s="70"/>
      <c r="H177" s="51"/>
      <c r="I177" s="60"/>
      <c r="J177" s="60"/>
      <c r="K177" s="60"/>
      <c r="L177" s="60"/>
    </row>
    <row r="178" spans="2:12">
      <c r="B178" s="49" t="s">
        <v>5126</v>
      </c>
      <c r="C178" s="44" t="s">
        <v>5208</v>
      </c>
      <c r="D178" s="48"/>
      <c r="E178" s="60"/>
      <c r="F178" s="60"/>
      <c r="G178" s="70"/>
      <c r="H178" s="51"/>
      <c r="I178" s="60"/>
      <c r="J178" s="60"/>
      <c r="K178" s="60"/>
      <c r="L178" s="60"/>
    </row>
    <row r="179" spans="2:12">
      <c r="B179" s="49" t="s">
        <v>5127</v>
      </c>
      <c r="C179" s="44" t="s">
        <v>3504</v>
      </c>
      <c r="D179" s="48"/>
      <c r="E179" s="60"/>
      <c r="F179" s="60"/>
      <c r="G179" s="70"/>
      <c r="H179" s="51"/>
      <c r="I179" s="60"/>
      <c r="J179" s="60"/>
      <c r="K179" s="60"/>
      <c r="L179" s="60"/>
    </row>
    <row r="180" spans="2:12" ht="30">
      <c r="B180" s="49" t="s">
        <v>5131</v>
      </c>
      <c r="C180" s="44" t="s">
        <v>5209</v>
      </c>
      <c r="D180" s="48"/>
      <c r="E180" s="60"/>
      <c r="F180" s="60"/>
      <c r="G180" s="70"/>
      <c r="H180" s="51"/>
      <c r="I180" s="60"/>
      <c r="J180" s="60"/>
      <c r="K180" s="60"/>
      <c r="L180" s="60"/>
    </row>
    <row r="181" spans="2:12">
      <c r="B181" s="49" t="s">
        <v>5132</v>
      </c>
      <c r="C181" s="44" t="s">
        <v>5210</v>
      </c>
      <c r="D181" s="48"/>
      <c r="E181" s="60"/>
      <c r="F181" s="60"/>
      <c r="G181" s="70"/>
      <c r="H181" s="51"/>
      <c r="I181" s="60"/>
      <c r="J181" s="60"/>
      <c r="K181" s="60"/>
      <c r="L181" s="60"/>
    </row>
    <row r="182" spans="2:12">
      <c r="B182" s="49" t="s">
        <v>5133</v>
      </c>
      <c r="C182" s="44" t="s">
        <v>5211</v>
      </c>
      <c r="D182" s="48"/>
      <c r="E182" s="60"/>
      <c r="F182" s="60"/>
      <c r="G182" s="70"/>
      <c r="H182" s="51"/>
      <c r="I182" s="60"/>
      <c r="J182" s="60"/>
      <c r="K182" s="60"/>
      <c r="L182" s="60"/>
    </row>
    <row r="183" spans="2:12">
      <c r="B183" s="49" t="s">
        <v>5178</v>
      </c>
      <c r="C183" s="44" t="s">
        <v>5212</v>
      </c>
      <c r="D183" s="48"/>
      <c r="E183" s="60"/>
      <c r="F183" s="60"/>
      <c r="G183" s="70"/>
      <c r="H183" s="51"/>
      <c r="I183" s="60"/>
      <c r="J183" s="60"/>
      <c r="K183" s="60"/>
      <c r="L183" s="60"/>
    </row>
    <row r="184" spans="2:12">
      <c r="B184" s="49" t="s">
        <v>5139</v>
      </c>
      <c r="C184" s="44" t="s">
        <v>5213</v>
      </c>
      <c r="D184" s="48"/>
      <c r="E184" s="60"/>
      <c r="F184" s="60"/>
      <c r="G184" s="70"/>
      <c r="H184" s="51"/>
      <c r="I184" s="60"/>
      <c r="J184" s="60"/>
      <c r="K184" s="60"/>
      <c r="L184" s="60"/>
    </row>
    <row r="185" spans="2:12">
      <c r="B185" s="49" t="s">
        <v>5181</v>
      </c>
      <c r="C185" s="44" t="s">
        <v>5214</v>
      </c>
      <c r="D185" s="48"/>
      <c r="E185" s="60"/>
      <c r="F185" s="60"/>
      <c r="G185" s="70"/>
      <c r="H185" s="51"/>
      <c r="I185" s="60"/>
      <c r="J185" s="60"/>
      <c r="K185" s="60"/>
      <c r="L185" s="60"/>
    </row>
    <row r="186" spans="2:12">
      <c r="B186" s="49" t="s">
        <v>5182</v>
      </c>
      <c r="C186" s="44" t="s">
        <v>5215</v>
      </c>
      <c r="D186" s="48"/>
      <c r="E186" s="60"/>
      <c r="F186" s="60"/>
      <c r="G186" s="70"/>
      <c r="H186" s="51"/>
      <c r="I186" s="60"/>
      <c r="J186" s="60"/>
      <c r="K186" s="60"/>
      <c r="L186" s="60"/>
    </row>
    <row r="187" spans="2:12">
      <c r="B187" s="49" t="s">
        <v>5129</v>
      </c>
      <c r="C187" s="44" t="s">
        <v>5216</v>
      </c>
      <c r="D187" s="48"/>
      <c r="E187" s="60"/>
      <c r="F187" s="60"/>
      <c r="G187" s="70"/>
      <c r="H187" s="51"/>
      <c r="I187" s="60"/>
      <c r="J187" s="60"/>
      <c r="K187" s="60"/>
      <c r="L187" s="60"/>
    </row>
    <row r="188" spans="2:12">
      <c r="B188" s="49" t="s">
        <v>5144</v>
      </c>
      <c r="C188" s="44" t="s">
        <v>5217</v>
      </c>
      <c r="D188" s="48"/>
      <c r="E188" s="60"/>
      <c r="F188" s="60"/>
      <c r="G188" s="70"/>
      <c r="H188" s="68"/>
      <c r="I188" s="60"/>
      <c r="J188" s="60"/>
      <c r="K188" s="60"/>
      <c r="L188" s="60"/>
    </row>
    <row r="189" spans="2:12">
      <c r="B189" s="49" t="s">
        <v>5218</v>
      </c>
      <c r="C189" s="44" t="s">
        <v>4947</v>
      </c>
      <c r="D189" s="46"/>
      <c r="E189" s="63"/>
      <c r="F189" s="63"/>
      <c r="G189" s="78"/>
      <c r="H189" s="48"/>
      <c r="I189" s="63"/>
      <c r="J189" s="63"/>
      <c r="K189" s="63"/>
      <c r="L189" s="63"/>
    </row>
    <row r="190" spans="2:12">
      <c r="B190" s="49" t="s">
        <v>5150</v>
      </c>
      <c r="C190" s="41" t="s">
        <v>3521</v>
      </c>
      <c r="D190" s="64"/>
      <c r="E190" s="58"/>
      <c r="F190" s="58"/>
      <c r="G190" s="58"/>
      <c r="H190" s="58"/>
      <c r="I190" s="58"/>
      <c r="J190" s="58"/>
      <c r="K190" s="58"/>
      <c r="L190" s="48"/>
    </row>
    <row r="191" spans="2:12">
      <c r="B191" s="49" t="s">
        <v>5151</v>
      </c>
      <c r="C191" s="41" t="s">
        <v>3522</v>
      </c>
      <c r="D191" s="64"/>
      <c r="E191" s="58"/>
      <c r="F191" s="58"/>
      <c r="G191" s="58"/>
      <c r="H191" s="58"/>
      <c r="I191" s="58"/>
      <c r="J191" s="58"/>
      <c r="K191" s="58"/>
      <c r="L191" s="48"/>
    </row>
    <row r="192" spans="2:12">
      <c r="B192" s="49" t="s">
        <v>5152</v>
      </c>
      <c r="C192" s="41" t="s">
        <v>5219</v>
      </c>
      <c r="D192" s="64"/>
      <c r="E192" s="58"/>
      <c r="F192" s="58"/>
      <c r="G192" s="58"/>
      <c r="H192" s="58"/>
      <c r="I192" s="58"/>
      <c r="J192" s="58"/>
      <c r="K192" s="58"/>
      <c r="L192" s="48"/>
    </row>
    <row r="193" spans="2:12">
      <c r="B193" s="49" t="s">
        <v>5153</v>
      </c>
      <c r="C193" s="41" t="s">
        <v>5220</v>
      </c>
      <c r="D193" s="64"/>
      <c r="E193" s="58"/>
      <c r="F193" s="58"/>
      <c r="G193" s="58"/>
      <c r="H193" s="58"/>
      <c r="I193" s="58"/>
      <c r="J193" s="58"/>
      <c r="K193" s="58"/>
      <c r="L193" s="48"/>
    </row>
    <row r="194" spans="2:12">
      <c r="B194" s="49" t="s">
        <v>5154</v>
      </c>
      <c r="C194" s="41" t="s">
        <v>5221</v>
      </c>
      <c r="D194" s="64"/>
      <c r="E194" s="58"/>
      <c r="F194" s="58"/>
      <c r="G194" s="58"/>
      <c r="H194" s="58"/>
      <c r="I194" s="58"/>
      <c r="J194" s="58"/>
      <c r="K194" s="58"/>
      <c r="L194" s="48"/>
    </row>
    <row r="195" spans="2:12">
      <c r="B195" s="49" t="s">
        <v>5155</v>
      </c>
      <c r="C195" s="41" t="s">
        <v>5222</v>
      </c>
      <c r="D195" s="64"/>
      <c r="E195" s="58"/>
      <c r="F195" s="58"/>
      <c r="G195" s="58"/>
      <c r="H195" s="58"/>
      <c r="I195" s="58"/>
      <c r="J195" s="58"/>
      <c r="K195" s="58"/>
      <c r="L195" s="48"/>
    </row>
    <row r="196" spans="2:12">
      <c r="B196" s="49" t="s">
        <v>5156</v>
      </c>
      <c r="C196" s="41" t="s">
        <v>5223</v>
      </c>
      <c r="D196" s="64"/>
      <c r="E196" s="58"/>
      <c r="F196" s="58"/>
      <c r="G196" s="58"/>
      <c r="H196" s="58"/>
      <c r="I196" s="58"/>
      <c r="J196" s="58"/>
      <c r="K196" s="58"/>
      <c r="L196" s="48"/>
    </row>
    <row r="197" spans="2:12">
      <c r="B197" s="49" t="s">
        <v>5157</v>
      </c>
      <c r="C197" s="41" t="s">
        <v>5224</v>
      </c>
      <c r="D197" s="64"/>
      <c r="E197" s="58"/>
      <c r="F197" s="58"/>
      <c r="G197" s="58"/>
      <c r="H197" s="58"/>
      <c r="I197" s="58"/>
      <c r="J197" s="58"/>
      <c r="K197" s="58"/>
      <c r="L197" s="48"/>
    </row>
    <row r="198" spans="2:12">
      <c r="B198" s="49" t="s">
        <v>5158</v>
      </c>
      <c r="C198" s="41" t="s">
        <v>5225</v>
      </c>
      <c r="D198" s="64"/>
      <c r="E198" s="58"/>
      <c r="F198" s="58"/>
      <c r="G198" s="58"/>
      <c r="H198" s="58"/>
      <c r="I198" s="58"/>
      <c r="J198" s="58"/>
      <c r="K198" s="58"/>
      <c r="L198" s="48"/>
    </row>
    <row r="199" spans="2:12">
      <c r="B199" s="49" t="s">
        <v>5159</v>
      </c>
      <c r="C199" s="41" t="s">
        <v>3523</v>
      </c>
      <c r="D199" s="64"/>
      <c r="E199" s="58"/>
      <c r="F199" s="58"/>
      <c r="G199" s="58"/>
      <c r="H199" s="58"/>
      <c r="I199" s="58"/>
      <c r="J199" s="58"/>
      <c r="K199" s="58"/>
      <c r="L199" s="48"/>
    </row>
    <row r="200" spans="2:12">
      <c r="B200" s="49" t="s">
        <v>5160</v>
      </c>
      <c r="C200" s="41" t="s">
        <v>3524</v>
      </c>
      <c r="D200" s="64"/>
      <c r="E200" s="58"/>
      <c r="F200" s="58"/>
      <c r="G200" s="58"/>
      <c r="H200" s="58"/>
      <c r="I200" s="58"/>
      <c r="J200" s="58"/>
      <c r="K200" s="58"/>
      <c r="L200" s="48"/>
    </row>
    <row r="201" spans="2:12">
      <c r="B201" s="49" t="s">
        <v>5161</v>
      </c>
      <c r="C201" s="41" t="s">
        <v>3525</v>
      </c>
      <c r="D201" s="64"/>
      <c r="E201" s="58"/>
      <c r="F201" s="58"/>
      <c r="G201" s="58"/>
      <c r="H201" s="58"/>
      <c r="I201" s="58"/>
      <c r="J201" s="58"/>
      <c r="K201" s="58"/>
      <c r="L201" s="48"/>
    </row>
    <row r="202" spans="2:12">
      <c r="B202" s="49" t="s">
        <v>5162</v>
      </c>
      <c r="C202" s="41" t="s">
        <v>4953</v>
      </c>
      <c r="D202" s="64"/>
      <c r="E202" s="58"/>
      <c r="F202" s="58"/>
      <c r="G202" s="58"/>
      <c r="H202" s="58"/>
      <c r="I202" s="58"/>
      <c r="J202" s="58"/>
      <c r="K202" s="58"/>
      <c r="L202" s="48"/>
    </row>
    <row r="203" spans="2:12">
      <c r="B203" s="49" t="s">
        <v>5163</v>
      </c>
      <c r="C203" s="41" t="s">
        <v>4955</v>
      </c>
      <c r="D203" s="64"/>
      <c r="E203" s="58"/>
      <c r="F203" s="58"/>
      <c r="G203" s="58"/>
      <c r="H203" s="58"/>
      <c r="I203" s="58"/>
      <c r="J203" s="58"/>
      <c r="K203" s="58"/>
      <c r="L203" s="48"/>
    </row>
    <row r="204" spans="2:12">
      <c r="B204" s="49" t="s">
        <v>5164</v>
      </c>
      <c r="C204" s="41" t="s">
        <v>5226</v>
      </c>
      <c r="D204" s="64"/>
      <c r="E204" s="58"/>
      <c r="F204" s="58"/>
      <c r="G204" s="58"/>
      <c r="H204" s="58"/>
      <c r="I204" s="58"/>
      <c r="J204" s="58"/>
      <c r="K204" s="58"/>
      <c r="L204" s="48"/>
    </row>
    <row r="205" spans="2:12">
      <c r="B205" s="49" t="s">
        <v>5165</v>
      </c>
      <c r="C205" s="41" t="s">
        <v>5227</v>
      </c>
      <c r="D205" s="64"/>
      <c r="E205" s="58"/>
      <c r="F205" s="58"/>
      <c r="G205" s="58"/>
      <c r="H205" s="58"/>
      <c r="I205" s="58"/>
      <c r="J205" s="58"/>
      <c r="K205" s="58"/>
      <c r="L205" s="48"/>
    </row>
    <row r="206" spans="2:12">
      <c r="B206" s="49" t="s">
        <v>5166</v>
      </c>
      <c r="C206" s="41" t="s">
        <v>5228</v>
      </c>
      <c r="D206" s="64"/>
      <c r="E206" s="58"/>
      <c r="F206" s="58"/>
      <c r="G206" s="58"/>
      <c r="H206" s="58"/>
      <c r="I206" s="58"/>
      <c r="J206" s="58"/>
      <c r="K206" s="58"/>
      <c r="L206" s="48"/>
    </row>
    <row r="207" spans="2:12">
      <c r="B207" s="49" t="s">
        <v>5167</v>
      </c>
      <c r="C207" s="41" t="s">
        <v>5229</v>
      </c>
      <c r="D207" s="64"/>
      <c r="E207" s="58"/>
      <c r="F207" s="58"/>
      <c r="G207" s="58"/>
      <c r="H207" s="58"/>
      <c r="I207" s="56"/>
      <c r="J207" s="56"/>
      <c r="K207" s="56"/>
      <c r="L207" s="46"/>
    </row>
    <row r="208" spans="2:12">
      <c r="B208" s="49" t="s">
        <v>5230</v>
      </c>
      <c r="C208" s="41" t="s">
        <v>5231</v>
      </c>
      <c r="D208" s="65"/>
      <c r="E208" s="58"/>
      <c r="F208" s="58"/>
      <c r="G208" s="58"/>
      <c r="H208" s="48"/>
      <c r="I208" s="60"/>
      <c r="J208" s="60"/>
      <c r="K208" s="60"/>
      <c r="L208" s="60"/>
    </row>
    <row r="209" spans="2:27">
      <c r="B209" s="49" t="s">
        <v>5232</v>
      </c>
      <c r="C209" s="44" t="s">
        <v>3526</v>
      </c>
      <c r="D209" s="58"/>
      <c r="E209" s="58"/>
      <c r="F209" s="58"/>
      <c r="G209" s="58"/>
      <c r="H209" s="48"/>
      <c r="I209" s="60"/>
      <c r="J209" s="63"/>
      <c r="K209" s="63"/>
      <c r="L209" s="60"/>
    </row>
    <row r="210" spans="2:27">
      <c r="B210" s="49" t="s">
        <v>5170</v>
      </c>
      <c r="C210" s="44" t="s">
        <v>3527</v>
      </c>
      <c r="D210" s="58"/>
      <c r="E210" s="58"/>
      <c r="F210" s="58"/>
      <c r="G210" s="58"/>
      <c r="H210" s="48"/>
      <c r="I210" s="64"/>
      <c r="J210" s="58"/>
      <c r="K210" s="48"/>
      <c r="L210" s="60"/>
    </row>
    <row r="211" spans="2:27">
      <c r="B211" s="49" t="s">
        <v>5233</v>
      </c>
      <c r="C211" s="44" t="s">
        <v>3528</v>
      </c>
      <c r="D211" s="56"/>
      <c r="E211" s="56"/>
      <c r="F211" s="56"/>
      <c r="G211" s="56"/>
      <c r="H211" s="46"/>
      <c r="I211" s="64"/>
      <c r="J211" s="56"/>
      <c r="K211" s="46"/>
      <c r="L211" s="60"/>
    </row>
    <row r="213" spans="2:27">
      <c r="Z213" s="13" t="str">
        <f>Show!$B$157&amp;Show!$B$157&amp;"S.27.01.04.04 Rows {"&amp;COLUMN($C$1)&amp;"}"</f>
        <v>!!S.27.01.04.04 Rows {3}</v>
      </c>
      <c r="AA213" s="13" t="str">
        <f>Show!$B$157&amp;Show!$B$157&amp;"S.27.01.04.04 Columns {"&amp;COLUMN($L$1)&amp;"}"</f>
        <v>!!S.27.01.04.04 Columns {12}</v>
      </c>
    </row>
    <row r="215" spans="2:27" ht="18.75">
      <c r="B215" s="88" t="s">
        <v>5550</v>
      </c>
      <c r="C215" s="87"/>
      <c r="D215" s="87"/>
      <c r="E215" s="87"/>
      <c r="F215" s="87"/>
      <c r="G215" s="87"/>
      <c r="H215" s="87"/>
      <c r="I215" s="87"/>
      <c r="J215" s="87"/>
      <c r="K215" s="87"/>
      <c r="L215" s="87"/>
    </row>
    <row r="219" spans="2:27">
      <c r="D219" s="92" t="s">
        <v>2877</v>
      </c>
      <c r="E219" s="93"/>
      <c r="F219" s="93"/>
      <c r="G219" s="93"/>
      <c r="H219" s="93"/>
      <c r="I219" s="93"/>
      <c r="J219" s="93"/>
      <c r="K219" s="93"/>
      <c r="L219" s="94"/>
    </row>
    <row r="220" spans="2:27">
      <c r="D220" s="95"/>
      <c r="E220" s="96"/>
      <c r="F220" s="96"/>
      <c r="G220" s="96"/>
      <c r="H220" s="96"/>
      <c r="I220" s="96"/>
      <c r="J220" s="96"/>
      <c r="K220" s="96"/>
      <c r="L220" s="97"/>
    </row>
    <row r="221" spans="2:27">
      <c r="D221" s="89" t="s">
        <v>5114</v>
      </c>
      <c r="E221" s="89" t="s">
        <v>5115</v>
      </c>
      <c r="F221" s="89" t="s">
        <v>5116</v>
      </c>
      <c r="G221" s="89" t="s">
        <v>5117</v>
      </c>
      <c r="H221" s="89" t="s">
        <v>5118</v>
      </c>
      <c r="I221" s="89" t="s">
        <v>5119</v>
      </c>
      <c r="J221" s="89" t="s">
        <v>5120</v>
      </c>
      <c r="K221" s="89" t="s">
        <v>5121</v>
      </c>
      <c r="L221" s="89" t="s">
        <v>5122</v>
      </c>
    </row>
    <row r="222" spans="2:27">
      <c r="D222" s="91"/>
      <c r="E222" s="91"/>
      <c r="F222" s="91"/>
      <c r="G222" s="91"/>
      <c r="H222" s="91"/>
      <c r="I222" s="91"/>
      <c r="J222" s="91"/>
      <c r="K222" s="91"/>
      <c r="L222" s="91"/>
    </row>
    <row r="223" spans="2:27">
      <c r="D223" s="45" t="s">
        <v>3519</v>
      </c>
      <c r="E223" s="45" t="s">
        <v>3612</v>
      </c>
      <c r="F223" s="45" t="s">
        <v>3614</v>
      </c>
      <c r="G223" s="45" t="s">
        <v>3616</v>
      </c>
      <c r="H223" s="45" t="s">
        <v>3618</v>
      </c>
      <c r="I223" s="45" t="s">
        <v>3620</v>
      </c>
      <c r="J223" s="45" t="s">
        <v>3622</v>
      </c>
      <c r="K223" s="45" t="s">
        <v>3624</v>
      </c>
      <c r="L223" s="45" t="s">
        <v>3626</v>
      </c>
      <c r="Z223" s="13" t="str">
        <f>Show!$B$157&amp;"S.27.01.04.05 Rows {"&amp;COLUMN($C$1)&amp;"}"&amp;"@ForceFilingCode:true"</f>
        <v>!S.27.01.04.05 Rows {3}@ForceFilingCode:true</v>
      </c>
      <c r="AA223" s="13" t="str">
        <f>Show!$B$157&amp;"S.27.01.04.05 Columns {"&amp;COLUMN($D$1)&amp;"}"</f>
        <v>!S.27.01.04.05 Columns {4}</v>
      </c>
    </row>
    <row r="224" spans="2:27">
      <c r="B224" s="43" t="s">
        <v>2880</v>
      </c>
      <c r="C224" s="44" t="s">
        <v>2878</v>
      </c>
      <c r="D224" s="58"/>
      <c r="E224" s="67"/>
      <c r="F224" s="67"/>
      <c r="G224" s="67"/>
      <c r="H224" s="67"/>
      <c r="I224" s="67"/>
      <c r="J224" s="67"/>
      <c r="K224" s="67"/>
      <c r="L224" s="59"/>
    </row>
    <row r="225" spans="2:12">
      <c r="B225" s="47" t="s">
        <v>5235</v>
      </c>
      <c r="C225" s="44" t="s">
        <v>2878</v>
      </c>
      <c r="D225" s="58"/>
      <c r="E225" s="66"/>
      <c r="F225" s="66"/>
      <c r="G225" s="66"/>
      <c r="H225" s="66"/>
      <c r="I225" s="66"/>
      <c r="J225" s="66"/>
      <c r="K225" s="66"/>
      <c r="L225" s="57"/>
    </row>
    <row r="226" spans="2:12">
      <c r="B226" s="49" t="s">
        <v>5124</v>
      </c>
      <c r="C226" s="44" t="s">
        <v>5236</v>
      </c>
      <c r="D226" s="48"/>
      <c r="E226" s="60"/>
      <c r="F226" s="60"/>
      <c r="G226" s="70"/>
      <c r="H226" s="51"/>
      <c r="I226" s="60"/>
      <c r="J226" s="60"/>
      <c r="K226" s="60"/>
      <c r="L226" s="60"/>
    </row>
    <row r="227" spans="2:12">
      <c r="B227" s="49" t="s">
        <v>5125</v>
      </c>
      <c r="C227" s="44" t="s">
        <v>5237</v>
      </c>
      <c r="D227" s="48"/>
      <c r="E227" s="60"/>
      <c r="F227" s="60"/>
      <c r="G227" s="70"/>
      <c r="H227" s="51"/>
      <c r="I227" s="60"/>
      <c r="J227" s="60"/>
      <c r="K227" s="60"/>
      <c r="L227" s="60"/>
    </row>
    <row r="228" spans="2:12">
      <c r="B228" s="49" t="s">
        <v>5126</v>
      </c>
      <c r="C228" s="44" t="s">
        <v>5238</v>
      </c>
      <c r="D228" s="48"/>
      <c r="E228" s="60"/>
      <c r="F228" s="60"/>
      <c r="G228" s="70"/>
      <c r="H228" s="51"/>
      <c r="I228" s="60"/>
      <c r="J228" s="60"/>
      <c r="K228" s="60"/>
      <c r="L228" s="60"/>
    </row>
    <row r="229" spans="2:12">
      <c r="B229" s="49" t="s">
        <v>5127</v>
      </c>
      <c r="C229" s="44" t="s">
        <v>5239</v>
      </c>
      <c r="D229" s="48"/>
      <c r="E229" s="60"/>
      <c r="F229" s="60"/>
      <c r="G229" s="70"/>
      <c r="H229" s="51"/>
      <c r="I229" s="60"/>
      <c r="J229" s="60"/>
      <c r="K229" s="60"/>
      <c r="L229" s="60"/>
    </row>
    <row r="230" spans="2:12" ht="30">
      <c r="B230" s="49" t="s">
        <v>5131</v>
      </c>
      <c r="C230" s="44" t="s">
        <v>5240</v>
      </c>
      <c r="D230" s="48"/>
      <c r="E230" s="60"/>
      <c r="F230" s="60"/>
      <c r="G230" s="70"/>
      <c r="H230" s="51"/>
      <c r="I230" s="60"/>
      <c r="J230" s="60"/>
      <c r="K230" s="60"/>
      <c r="L230" s="60"/>
    </row>
    <row r="231" spans="2:12">
      <c r="B231" s="49" t="s">
        <v>5132</v>
      </c>
      <c r="C231" s="44" t="s">
        <v>5241</v>
      </c>
      <c r="D231" s="48"/>
      <c r="E231" s="60"/>
      <c r="F231" s="60"/>
      <c r="G231" s="70"/>
      <c r="H231" s="51"/>
      <c r="I231" s="60"/>
      <c r="J231" s="60"/>
      <c r="K231" s="60"/>
      <c r="L231" s="60"/>
    </row>
    <row r="232" spans="2:12">
      <c r="B232" s="49" t="s">
        <v>5178</v>
      </c>
      <c r="C232" s="44" t="s">
        <v>5242</v>
      </c>
      <c r="D232" s="48"/>
      <c r="E232" s="60"/>
      <c r="F232" s="60"/>
      <c r="G232" s="70"/>
      <c r="H232" s="51"/>
      <c r="I232" s="60"/>
      <c r="J232" s="60"/>
      <c r="K232" s="60"/>
      <c r="L232" s="60"/>
    </row>
    <row r="233" spans="2:12">
      <c r="B233" s="49" t="s">
        <v>5136</v>
      </c>
      <c r="C233" s="44" t="s">
        <v>5243</v>
      </c>
      <c r="D233" s="48"/>
      <c r="E233" s="60"/>
      <c r="F233" s="60"/>
      <c r="G233" s="70"/>
      <c r="H233" s="51"/>
      <c r="I233" s="60"/>
      <c r="J233" s="60"/>
      <c r="K233" s="60"/>
      <c r="L233" s="60"/>
    </row>
    <row r="234" spans="2:12">
      <c r="B234" s="49" t="s">
        <v>5137</v>
      </c>
      <c r="C234" s="44" t="s">
        <v>3529</v>
      </c>
      <c r="D234" s="48"/>
      <c r="E234" s="60"/>
      <c r="F234" s="60"/>
      <c r="G234" s="70"/>
      <c r="H234" s="51"/>
      <c r="I234" s="60"/>
      <c r="J234" s="60"/>
      <c r="K234" s="60"/>
      <c r="L234" s="60"/>
    </row>
    <row r="235" spans="2:12">
      <c r="B235" s="49" t="s">
        <v>5129</v>
      </c>
      <c r="C235" s="44" t="s">
        <v>5244</v>
      </c>
      <c r="D235" s="48"/>
      <c r="E235" s="60"/>
      <c r="F235" s="60"/>
      <c r="G235" s="70"/>
      <c r="H235" s="51"/>
      <c r="I235" s="60"/>
      <c r="J235" s="60"/>
      <c r="K235" s="60"/>
      <c r="L235" s="60"/>
    </row>
    <row r="236" spans="2:12">
      <c r="B236" s="49" t="s">
        <v>5142</v>
      </c>
      <c r="C236" s="44" t="s">
        <v>3530</v>
      </c>
      <c r="D236" s="48"/>
      <c r="E236" s="60"/>
      <c r="F236" s="60"/>
      <c r="G236" s="70"/>
      <c r="H236" s="68"/>
      <c r="I236" s="60"/>
      <c r="J236" s="60"/>
      <c r="K236" s="60"/>
      <c r="L236" s="60"/>
    </row>
    <row r="237" spans="2:12">
      <c r="B237" s="49" t="s">
        <v>5245</v>
      </c>
      <c r="C237" s="44" t="s">
        <v>3531</v>
      </c>
      <c r="D237" s="46"/>
      <c r="E237" s="63"/>
      <c r="F237" s="63"/>
      <c r="G237" s="78"/>
      <c r="H237" s="48"/>
      <c r="I237" s="63"/>
      <c r="J237" s="63"/>
      <c r="K237" s="63"/>
      <c r="L237" s="63"/>
    </row>
    <row r="238" spans="2:12">
      <c r="B238" s="49" t="s">
        <v>5150</v>
      </c>
      <c r="C238" s="41" t="s">
        <v>5246</v>
      </c>
      <c r="D238" s="64"/>
      <c r="E238" s="58"/>
      <c r="F238" s="58"/>
      <c r="G238" s="58"/>
      <c r="H238" s="58"/>
      <c r="I238" s="58"/>
      <c r="J238" s="58"/>
      <c r="K238" s="58"/>
      <c r="L238" s="48"/>
    </row>
    <row r="239" spans="2:12">
      <c r="B239" s="49" t="s">
        <v>5151</v>
      </c>
      <c r="C239" s="41" t="s">
        <v>5247</v>
      </c>
      <c r="D239" s="64"/>
      <c r="E239" s="58"/>
      <c r="F239" s="58"/>
      <c r="G239" s="58"/>
      <c r="H239" s="58"/>
      <c r="I239" s="58"/>
      <c r="J239" s="58"/>
      <c r="K239" s="58"/>
      <c r="L239" s="48"/>
    </row>
    <row r="240" spans="2:12">
      <c r="B240" s="49" t="s">
        <v>5152</v>
      </c>
      <c r="C240" s="41" t="s">
        <v>5248</v>
      </c>
      <c r="D240" s="64"/>
      <c r="E240" s="58"/>
      <c r="F240" s="58"/>
      <c r="G240" s="58"/>
      <c r="H240" s="58"/>
      <c r="I240" s="58"/>
      <c r="J240" s="58"/>
      <c r="K240" s="58"/>
      <c r="L240" s="48"/>
    </row>
    <row r="241" spans="2:12">
      <c r="B241" s="49" t="s">
        <v>5153</v>
      </c>
      <c r="C241" s="41" t="s">
        <v>5249</v>
      </c>
      <c r="D241" s="64"/>
      <c r="E241" s="58"/>
      <c r="F241" s="58"/>
      <c r="G241" s="58"/>
      <c r="H241" s="58"/>
      <c r="I241" s="58"/>
      <c r="J241" s="58"/>
      <c r="K241" s="58"/>
      <c r="L241" s="48"/>
    </row>
    <row r="242" spans="2:12">
      <c r="B242" s="49" t="s">
        <v>5154</v>
      </c>
      <c r="C242" s="41" t="s">
        <v>5250</v>
      </c>
      <c r="D242" s="64"/>
      <c r="E242" s="58"/>
      <c r="F242" s="58"/>
      <c r="G242" s="58"/>
      <c r="H242" s="58"/>
      <c r="I242" s="58"/>
      <c r="J242" s="58"/>
      <c r="K242" s="58"/>
      <c r="L242" s="48"/>
    </row>
    <row r="243" spans="2:12">
      <c r="B243" s="49" t="s">
        <v>5155</v>
      </c>
      <c r="C243" s="41" t="s">
        <v>5251</v>
      </c>
      <c r="D243" s="64"/>
      <c r="E243" s="58"/>
      <c r="F243" s="58"/>
      <c r="G243" s="58"/>
      <c r="H243" s="58"/>
      <c r="I243" s="58"/>
      <c r="J243" s="58"/>
      <c r="K243" s="58"/>
      <c r="L243" s="48"/>
    </row>
    <row r="244" spans="2:12">
      <c r="B244" s="49" t="s">
        <v>5156</v>
      </c>
      <c r="C244" s="41" t="s">
        <v>5252</v>
      </c>
      <c r="D244" s="64"/>
      <c r="E244" s="58"/>
      <c r="F244" s="58"/>
      <c r="G244" s="58"/>
      <c r="H244" s="58"/>
      <c r="I244" s="58"/>
      <c r="J244" s="58"/>
      <c r="K244" s="58"/>
      <c r="L244" s="48"/>
    </row>
    <row r="245" spans="2:12">
      <c r="B245" s="49" t="s">
        <v>5157</v>
      </c>
      <c r="C245" s="41" t="s">
        <v>3532</v>
      </c>
      <c r="D245" s="64"/>
      <c r="E245" s="58"/>
      <c r="F245" s="58"/>
      <c r="G245" s="58"/>
      <c r="H245" s="58"/>
      <c r="I245" s="58"/>
      <c r="J245" s="58"/>
      <c r="K245" s="58"/>
      <c r="L245" s="48"/>
    </row>
    <row r="246" spans="2:12">
      <c r="B246" s="49" t="s">
        <v>5158</v>
      </c>
      <c r="C246" s="41" t="s">
        <v>5253</v>
      </c>
      <c r="D246" s="64"/>
      <c r="E246" s="58"/>
      <c r="F246" s="58"/>
      <c r="G246" s="58"/>
      <c r="H246" s="58"/>
      <c r="I246" s="58"/>
      <c r="J246" s="58"/>
      <c r="K246" s="58"/>
      <c r="L246" s="48"/>
    </row>
    <row r="247" spans="2:12">
      <c r="B247" s="49" t="s">
        <v>5159</v>
      </c>
      <c r="C247" s="41" t="s">
        <v>5254</v>
      </c>
      <c r="D247" s="64"/>
      <c r="E247" s="58"/>
      <c r="F247" s="58"/>
      <c r="G247" s="58"/>
      <c r="H247" s="58"/>
      <c r="I247" s="58"/>
      <c r="J247" s="58"/>
      <c r="K247" s="58"/>
      <c r="L247" s="48"/>
    </row>
    <row r="248" spans="2:12">
      <c r="B248" s="49" t="s">
        <v>5160</v>
      </c>
      <c r="C248" s="41" t="s">
        <v>5255</v>
      </c>
      <c r="D248" s="64"/>
      <c r="E248" s="58"/>
      <c r="F248" s="58"/>
      <c r="G248" s="58"/>
      <c r="H248" s="58"/>
      <c r="I248" s="58"/>
      <c r="J248" s="58"/>
      <c r="K248" s="58"/>
      <c r="L248" s="48"/>
    </row>
    <row r="249" spans="2:12">
      <c r="B249" s="49" t="s">
        <v>5161</v>
      </c>
      <c r="C249" s="41" t="s">
        <v>5256</v>
      </c>
      <c r="D249" s="64"/>
      <c r="E249" s="58"/>
      <c r="F249" s="58"/>
      <c r="G249" s="58"/>
      <c r="H249" s="58"/>
      <c r="I249" s="58"/>
      <c r="J249" s="58"/>
      <c r="K249" s="58"/>
      <c r="L249" s="48"/>
    </row>
    <row r="250" spans="2:12">
      <c r="B250" s="49" t="s">
        <v>5162</v>
      </c>
      <c r="C250" s="41" t="s">
        <v>5257</v>
      </c>
      <c r="D250" s="64"/>
      <c r="E250" s="58"/>
      <c r="F250" s="58"/>
      <c r="G250" s="58"/>
      <c r="H250" s="58"/>
      <c r="I250" s="58"/>
      <c r="J250" s="58"/>
      <c r="K250" s="58"/>
      <c r="L250" s="48"/>
    </row>
    <row r="251" spans="2:12">
      <c r="B251" s="49" t="s">
        <v>5163</v>
      </c>
      <c r="C251" s="41" t="s">
        <v>5258</v>
      </c>
      <c r="D251" s="64"/>
      <c r="E251" s="58"/>
      <c r="F251" s="58"/>
      <c r="G251" s="58"/>
      <c r="H251" s="58"/>
      <c r="I251" s="58"/>
      <c r="J251" s="58"/>
      <c r="K251" s="58"/>
      <c r="L251" s="48"/>
    </row>
    <row r="252" spans="2:12">
      <c r="B252" s="49" t="s">
        <v>5164</v>
      </c>
      <c r="C252" s="41" t="s">
        <v>5259</v>
      </c>
      <c r="D252" s="64"/>
      <c r="E252" s="58"/>
      <c r="F252" s="58"/>
      <c r="G252" s="58"/>
      <c r="H252" s="58"/>
      <c r="I252" s="58"/>
      <c r="J252" s="58"/>
      <c r="K252" s="58"/>
      <c r="L252" s="48"/>
    </row>
    <row r="253" spans="2:12">
      <c r="B253" s="49" t="s">
        <v>5165</v>
      </c>
      <c r="C253" s="41" t="s">
        <v>5260</v>
      </c>
      <c r="D253" s="64"/>
      <c r="E253" s="58"/>
      <c r="F253" s="58"/>
      <c r="G253" s="58"/>
      <c r="H253" s="58"/>
      <c r="I253" s="58"/>
      <c r="J253" s="58"/>
      <c r="K253" s="58"/>
      <c r="L253" s="48"/>
    </row>
    <row r="254" spans="2:12">
      <c r="B254" s="49" t="s">
        <v>5166</v>
      </c>
      <c r="C254" s="41" t="s">
        <v>5261</v>
      </c>
      <c r="D254" s="64"/>
      <c r="E254" s="58"/>
      <c r="F254" s="58"/>
      <c r="G254" s="58"/>
      <c r="H254" s="58"/>
      <c r="I254" s="58"/>
      <c r="J254" s="58"/>
      <c r="K254" s="58"/>
      <c r="L254" s="48"/>
    </row>
    <row r="255" spans="2:12">
      <c r="B255" s="49" t="s">
        <v>5167</v>
      </c>
      <c r="C255" s="41" t="s">
        <v>3533</v>
      </c>
      <c r="D255" s="64"/>
      <c r="E255" s="58"/>
      <c r="F255" s="58"/>
      <c r="G255" s="58"/>
      <c r="H255" s="58"/>
      <c r="I255" s="56"/>
      <c r="J255" s="56"/>
      <c r="K255" s="56"/>
      <c r="L255" s="46"/>
    </row>
    <row r="256" spans="2:12">
      <c r="B256" s="49" t="s">
        <v>5262</v>
      </c>
      <c r="C256" s="41" t="s">
        <v>3534</v>
      </c>
      <c r="D256" s="65"/>
      <c r="E256" s="58"/>
      <c r="F256" s="58"/>
      <c r="G256" s="58"/>
      <c r="H256" s="48"/>
      <c r="I256" s="60"/>
      <c r="J256" s="60"/>
      <c r="K256" s="60"/>
      <c r="L256" s="60"/>
    </row>
    <row r="257" spans="2:27">
      <c r="B257" s="49" t="s">
        <v>5263</v>
      </c>
      <c r="C257" s="44" t="s">
        <v>3535</v>
      </c>
      <c r="D257" s="58"/>
      <c r="E257" s="58"/>
      <c r="F257" s="58"/>
      <c r="G257" s="58"/>
      <c r="H257" s="48"/>
      <c r="I257" s="60"/>
      <c r="J257" s="63"/>
      <c r="K257" s="63"/>
      <c r="L257" s="60"/>
    </row>
    <row r="258" spans="2:27">
      <c r="B258" s="49" t="s">
        <v>5170</v>
      </c>
      <c r="C258" s="44" t="s">
        <v>5264</v>
      </c>
      <c r="D258" s="58"/>
      <c r="E258" s="58"/>
      <c r="F258" s="58"/>
      <c r="G258" s="58"/>
      <c r="H258" s="48"/>
      <c r="I258" s="64"/>
      <c r="J258" s="58"/>
      <c r="K258" s="48"/>
      <c r="L258" s="60"/>
    </row>
    <row r="259" spans="2:27">
      <c r="B259" s="49" t="s">
        <v>5265</v>
      </c>
      <c r="C259" s="44" t="s">
        <v>5266</v>
      </c>
      <c r="D259" s="56"/>
      <c r="E259" s="56"/>
      <c r="F259" s="56"/>
      <c r="G259" s="56"/>
      <c r="H259" s="46"/>
      <c r="I259" s="64"/>
      <c r="J259" s="56"/>
      <c r="K259" s="46"/>
      <c r="L259" s="60"/>
    </row>
    <row r="261" spans="2:27">
      <c r="Z261" s="13" t="str">
        <f>Show!$B$157&amp;Show!$B$157&amp;"S.27.01.04.05 Rows {"&amp;COLUMN($C$1)&amp;"}"</f>
        <v>!!S.27.01.04.05 Rows {3}</v>
      </c>
      <c r="AA261" s="13" t="str">
        <f>Show!$B$157&amp;Show!$B$157&amp;"S.27.01.04.05 Columns {"&amp;COLUMN($L$1)&amp;"}"</f>
        <v>!!S.27.01.04.05 Columns {12}</v>
      </c>
    </row>
    <row r="263" spans="2:27" ht="18.75">
      <c r="B263" s="88" t="s">
        <v>5551</v>
      </c>
      <c r="C263" s="87"/>
      <c r="D263" s="87"/>
      <c r="E263" s="87"/>
      <c r="F263" s="87"/>
      <c r="G263" s="87"/>
      <c r="H263" s="87"/>
      <c r="I263" s="87"/>
      <c r="J263" s="87"/>
      <c r="K263" s="87"/>
      <c r="L263" s="87"/>
    </row>
    <row r="267" spans="2:27">
      <c r="D267" s="92" t="s">
        <v>2877</v>
      </c>
      <c r="E267" s="93"/>
      <c r="F267" s="93"/>
      <c r="G267" s="93"/>
      <c r="H267" s="93"/>
      <c r="I267" s="93"/>
      <c r="J267" s="93"/>
      <c r="K267" s="94"/>
    </row>
    <row r="268" spans="2:27">
      <c r="D268" s="95"/>
      <c r="E268" s="96"/>
      <c r="F268" s="96"/>
      <c r="G268" s="96"/>
      <c r="H268" s="96"/>
      <c r="I268" s="96"/>
      <c r="J268" s="96"/>
      <c r="K268" s="97"/>
    </row>
    <row r="269" spans="2:27">
      <c r="D269" s="89" t="s">
        <v>5114</v>
      </c>
      <c r="E269" s="89" t="s">
        <v>5115</v>
      </c>
      <c r="F269" s="89" t="s">
        <v>5116</v>
      </c>
      <c r="G269" s="89" t="s">
        <v>5117</v>
      </c>
      <c r="H269" s="89" t="s">
        <v>5119</v>
      </c>
      <c r="I269" s="89" t="s">
        <v>5120</v>
      </c>
      <c r="J269" s="89" t="s">
        <v>5121</v>
      </c>
      <c r="K269" s="89" t="s">
        <v>5122</v>
      </c>
    </row>
    <row r="270" spans="2:27">
      <c r="D270" s="91"/>
      <c r="E270" s="91"/>
      <c r="F270" s="91"/>
      <c r="G270" s="91"/>
      <c r="H270" s="91"/>
      <c r="I270" s="91"/>
      <c r="J270" s="91"/>
      <c r="K270" s="91"/>
    </row>
    <row r="271" spans="2:27">
      <c r="D271" s="45" t="s">
        <v>3628</v>
      </c>
      <c r="E271" s="45" t="s">
        <v>3634</v>
      </c>
      <c r="F271" s="45" t="s">
        <v>3636</v>
      </c>
      <c r="G271" s="45" t="s">
        <v>3701</v>
      </c>
      <c r="H271" s="45" t="s">
        <v>3702</v>
      </c>
      <c r="I271" s="45" t="s">
        <v>3675</v>
      </c>
      <c r="J271" s="45" t="s">
        <v>3955</v>
      </c>
      <c r="K271" s="45" t="s">
        <v>3956</v>
      </c>
      <c r="Z271" s="13" t="str">
        <f>Show!$B$157&amp;"S.27.01.04.06 Rows {"&amp;COLUMN($C$1)&amp;"}"&amp;"@ForceFilingCode:true"</f>
        <v>!S.27.01.04.06 Rows {3}@ForceFilingCode:true</v>
      </c>
      <c r="AA271" s="13" t="str">
        <f>Show!$B$157&amp;"S.27.01.04.06 Columns {"&amp;COLUMN($D$1)&amp;"}"</f>
        <v>!S.27.01.04.06 Columns {4}</v>
      </c>
    </row>
    <row r="272" spans="2:27">
      <c r="B272" s="43" t="s">
        <v>2880</v>
      </c>
      <c r="C272" s="44" t="s">
        <v>2878</v>
      </c>
      <c r="D272" s="58"/>
      <c r="E272" s="67"/>
      <c r="F272" s="67"/>
      <c r="G272" s="67"/>
      <c r="H272" s="67"/>
      <c r="I272" s="67"/>
      <c r="J272" s="67"/>
      <c r="K272" s="59"/>
    </row>
    <row r="273" spans="2:27">
      <c r="B273" s="47" t="s">
        <v>5268</v>
      </c>
      <c r="C273" s="44" t="s">
        <v>2878</v>
      </c>
      <c r="D273" s="56"/>
      <c r="E273" s="66"/>
      <c r="F273" s="66"/>
      <c r="G273" s="66"/>
      <c r="H273" s="66"/>
      <c r="I273" s="66"/>
      <c r="J273" s="66"/>
      <c r="K273" s="57"/>
    </row>
    <row r="274" spans="2:27">
      <c r="B274" s="49" t="s">
        <v>5269</v>
      </c>
      <c r="C274" s="41" t="s">
        <v>5270</v>
      </c>
      <c r="D274" s="63"/>
      <c r="E274" s="63"/>
      <c r="F274" s="63"/>
      <c r="G274" s="76"/>
      <c r="H274" s="60"/>
      <c r="I274" s="63"/>
      <c r="J274" s="63"/>
      <c r="K274" s="60"/>
    </row>
    <row r="275" spans="2:27">
      <c r="B275" s="49" t="s">
        <v>5271</v>
      </c>
      <c r="C275" s="44" t="s">
        <v>5272</v>
      </c>
      <c r="D275" s="58"/>
      <c r="E275" s="58"/>
      <c r="F275" s="58"/>
      <c r="G275" s="48"/>
      <c r="H275" s="64"/>
      <c r="I275" s="58"/>
      <c r="J275" s="48"/>
      <c r="K275" s="60"/>
    </row>
    <row r="276" spans="2:27">
      <c r="B276" s="49" t="s">
        <v>5273</v>
      </c>
      <c r="C276" s="44" t="s">
        <v>5274</v>
      </c>
      <c r="D276" s="56"/>
      <c r="E276" s="56"/>
      <c r="F276" s="56"/>
      <c r="G276" s="46"/>
      <c r="H276" s="64"/>
      <c r="I276" s="56"/>
      <c r="J276" s="46"/>
      <c r="K276" s="60"/>
    </row>
    <row r="278" spans="2:27">
      <c r="Z278" s="13" t="str">
        <f>Show!$B$157&amp;Show!$B$157&amp;"S.27.01.04.06 Rows {"&amp;COLUMN($C$1)&amp;"}"</f>
        <v>!!S.27.01.04.06 Rows {3}</v>
      </c>
      <c r="AA278" s="13" t="str">
        <f>Show!$B$157&amp;Show!$B$157&amp;"S.27.01.04.06 Columns {"&amp;COLUMN($K$1)&amp;"}"</f>
        <v>!!S.27.01.04.06 Columns {11}</v>
      </c>
    </row>
    <row r="280" spans="2:27" ht="18.75">
      <c r="B280" s="88" t="s">
        <v>5552</v>
      </c>
      <c r="C280" s="87"/>
      <c r="D280" s="87"/>
      <c r="E280" s="87"/>
      <c r="F280" s="87"/>
      <c r="G280" s="87"/>
      <c r="H280" s="87"/>
      <c r="I280" s="87"/>
      <c r="J280" s="87"/>
      <c r="K280" s="87"/>
      <c r="L280" s="87"/>
    </row>
    <row r="284" spans="2:27">
      <c r="D284" s="92" t="s">
        <v>2877</v>
      </c>
      <c r="E284" s="93"/>
      <c r="F284" s="93"/>
      <c r="G284" s="93"/>
      <c r="H284" s="94"/>
    </row>
    <row r="285" spans="2:27">
      <c r="D285" s="95"/>
      <c r="E285" s="96"/>
      <c r="F285" s="96"/>
      <c r="G285" s="96"/>
      <c r="H285" s="97"/>
    </row>
    <row r="286" spans="2:27">
      <c r="D286" s="98" t="s">
        <v>5276</v>
      </c>
      <c r="E286" s="100"/>
      <c r="F286" s="100"/>
      <c r="G286" s="100"/>
      <c r="H286" s="99"/>
    </row>
    <row r="287" spans="2:27" ht="60">
      <c r="D287" s="55" t="s">
        <v>5277</v>
      </c>
      <c r="E287" s="55" t="s">
        <v>5119</v>
      </c>
      <c r="F287" s="55" t="s">
        <v>5120</v>
      </c>
      <c r="G287" s="55" t="s">
        <v>5121</v>
      </c>
      <c r="H287" s="55" t="s">
        <v>5122</v>
      </c>
    </row>
    <row r="288" spans="2:27">
      <c r="D288" s="45" t="s">
        <v>3957</v>
      </c>
      <c r="E288" s="45" t="s">
        <v>3958</v>
      </c>
      <c r="F288" s="45" t="s">
        <v>3959</v>
      </c>
      <c r="G288" s="45" t="s">
        <v>3960</v>
      </c>
      <c r="H288" s="45" t="s">
        <v>3961</v>
      </c>
      <c r="Z288" s="13" t="str">
        <f>Show!$B$157&amp;"S.27.01.04.07 Rows {"&amp;COLUMN($C$1)&amp;"}"&amp;"@ForceFilingCode:true"</f>
        <v>!S.27.01.04.07 Rows {3}@ForceFilingCode:true</v>
      </c>
      <c r="AA288" s="13" t="str">
        <f>Show!$B$157&amp;"S.27.01.04.07 Columns {"&amp;COLUMN($D$1)&amp;"}"</f>
        <v>!S.27.01.04.07 Columns {4}</v>
      </c>
    </row>
    <row r="289" spans="2:27">
      <c r="B289" s="43" t="s">
        <v>2880</v>
      </c>
      <c r="C289" s="44" t="s">
        <v>2878</v>
      </c>
      <c r="D289" s="56"/>
      <c r="E289" s="66"/>
      <c r="F289" s="66"/>
      <c r="G289" s="66"/>
      <c r="H289" s="57"/>
    </row>
    <row r="290" spans="2:27">
      <c r="B290" s="47" t="s">
        <v>3905</v>
      </c>
      <c r="C290" s="41" t="s">
        <v>3536</v>
      </c>
      <c r="D290" s="60"/>
      <c r="E290" s="60"/>
      <c r="F290" s="60"/>
      <c r="G290" s="60"/>
      <c r="H290" s="60"/>
    </row>
    <row r="292" spans="2:27">
      <c r="Z292" s="13" t="str">
        <f>Show!$B$157&amp;Show!$B$157&amp;"S.27.01.04.07 Rows {"&amp;COLUMN($C$1)&amp;"}"</f>
        <v>!!S.27.01.04.07 Rows {3}</v>
      </c>
      <c r="AA292" s="13" t="str">
        <f>Show!$B$157&amp;Show!$B$157&amp;"S.27.01.04.07 Columns {"&amp;COLUMN($H$1)&amp;"}"</f>
        <v>!!S.27.01.04.07 Columns {8}</v>
      </c>
    </row>
    <row r="294" spans="2:27" ht="18.75">
      <c r="B294" s="88" t="s">
        <v>5553</v>
      </c>
      <c r="C294" s="87"/>
      <c r="D294" s="87"/>
      <c r="E294" s="87"/>
      <c r="F294" s="87"/>
      <c r="G294" s="87"/>
      <c r="H294" s="87"/>
      <c r="I294" s="87"/>
      <c r="J294" s="87"/>
      <c r="K294" s="87"/>
      <c r="L294" s="87"/>
    </row>
    <row r="298" spans="2:27">
      <c r="D298" s="92" t="s">
        <v>2877</v>
      </c>
      <c r="E298" s="93"/>
      <c r="F298" s="93"/>
      <c r="G298" s="93"/>
      <c r="H298" s="93"/>
      <c r="I298" s="94"/>
    </row>
    <row r="299" spans="2:27">
      <c r="D299" s="95"/>
      <c r="E299" s="96"/>
      <c r="F299" s="96"/>
      <c r="G299" s="96"/>
      <c r="H299" s="96"/>
      <c r="I299" s="97"/>
    </row>
    <row r="300" spans="2:27">
      <c r="D300" s="98" t="s">
        <v>5279</v>
      </c>
      <c r="E300" s="100"/>
      <c r="F300" s="100"/>
      <c r="G300" s="100"/>
      <c r="H300" s="100"/>
      <c r="I300" s="99"/>
    </row>
    <row r="301" spans="2:27" ht="75">
      <c r="D301" s="55" t="s">
        <v>5280</v>
      </c>
      <c r="E301" s="55" t="s">
        <v>5281</v>
      </c>
      <c r="F301" s="55" t="s">
        <v>5282</v>
      </c>
      <c r="G301" s="55" t="s">
        <v>5120</v>
      </c>
      <c r="H301" s="55" t="s">
        <v>5121</v>
      </c>
      <c r="I301" s="55" t="s">
        <v>5283</v>
      </c>
    </row>
    <row r="302" spans="2:27">
      <c r="D302" s="45" t="s">
        <v>3962</v>
      </c>
      <c r="E302" s="45" t="s">
        <v>3963</v>
      </c>
      <c r="F302" s="45" t="s">
        <v>3964</v>
      </c>
      <c r="G302" s="45" t="s">
        <v>3965</v>
      </c>
      <c r="H302" s="45" t="s">
        <v>3967</v>
      </c>
      <c r="I302" s="45" t="s">
        <v>4546</v>
      </c>
      <c r="Z302" s="13" t="str">
        <f>Show!$B$157&amp;"S.27.01.04.08 Rows {"&amp;COLUMN($C$1)&amp;"}"&amp;"@ForceFilingCode:true"</f>
        <v>!S.27.01.04.08 Rows {3}@ForceFilingCode:true</v>
      </c>
      <c r="AA302" s="13" t="str">
        <f>Show!$B$157&amp;"S.27.01.04.08 Columns {"&amp;COLUMN($D$1)&amp;"}"</f>
        <v>!S.27.01.04.08 Columns {4}</v>
      </c>
    </row>
    <row r="303" spans="2:27">
      <c r="B303" s="43" t="s">
        <v>2880</v>
      </c>
      <c r="C303" s="44" t="s">
        <v>2878</v>
      </c>
      <c r="D303" s="56"/>
      <c r="E303" s="66"/>
      <c r="F303" s="66"/>
      <c r="G303" s="66"/>
      <c r="H303" s="66"/>
      <c r="I303" s="57"/>
    </row>
    <row r="304" spans="2:27">
      <c r="B304" s="47" t="s">
        <v>5284</v>
      </c>
      <c r="C304" s="41" t="s">
        <v>3539</v>
      </c>
      <c r="D304" s="50"/>
      <c r="E304" s="50"/>
      <c r="F304" s="60"/>
      <c r="G304" s="60"/>
      <c r="H304" s="60"/>
      <c r="I304" s="60"/>
    </row>
    <row r="306" spans="2:27">
      <c r="Z306" s="13" t="str">
        <f>Show!$B$157&amp;Show!$B$157&amp;"S.27.01.04.08 Rows {"&amp;COLUMN($C$1)&amp;"}"</f>
        <v>!!S.27.01.04.08 Rows {3}</v>
      </c>
      <c r="AA306" s="13" t="str">
        <f>Show!$B$157&amp;Show!$B$157&amp;"S.27.01.04.08 Columns {"&amp;COLUMN($I$1)&amp;"}"</f>
        <v>!!S.27.01.04.08 Columns {9}</v>
      </c>
    </row>
    <row r="308" spans="2:27" ht="18.75">
      <c r="B308" s="88" t="s">
        <v>5554</v>
      </c>
      <c r="C308" s="87"/>
      <c r="D308" s="87"/>
      <c r="E308" s="87"/>
      <c r="F308" s="87"/>
      <c r="G308" s="87"/>
      <c r="H308" s="87"/>
      <c r="I308" s="87"/>
      <c r="J308" s="87"/>
      <c r="K308" s="87"/>
      <c r="L308" s="87"/>
    </row>
    <row r="312" spans="2:27">
      <c r="D312" s="92" t="s">
        <v>2877</v>
      </c>
      <c r="E312" s="93"/>
      <c r="F312" s="93"/>
      <c r="G312" s="93"/>
      <c r="H312" s="93"/>
      <c r="I312" s="93"/>
      <c r="J312" s="93"/>
      <c r="K312" s="94"/>
    </row>
    <row r="313" spans="2:27">
      <c r="D313" s="95"/>
      <c r="E313" s="96"/>
      <c r="F313" s="96"/>
      <c r="G313" s="96"/>
      <c r="H313" s="96"/>
      <c r="I313" s="96"/>
      <c r="J313" s="96"/>
      <c r="K313" s="97"/>
    </row>
    <row r="314" spans="2:27" ht="105">
      <c r="D314" s="55" t="s">
        <v>5286</v>
      </c>
      <c r="E314" s="55" t="s">
        <v>5287</v>
      </c>
      <c r="F314" s="55" t="s">
        <v>5288</v>
      </c>
      <c r="G314" s="55" t="s">
        <v>5289</v>
      </c>
      <c r="H314" s="55" t="s">
        <v>5120</v>
      </c>
      <c r="I314" s="55" t="s">
        <v>5121</v>
      </c>
      <c r="J314" s="55" t="s">
        <v>5290</v>
      </c>
      <c r="K314" s="55" t="s">
        <v>5291</v>
      </c>
    </row>
    <row r="315" spans="2:27">
      <c r="D315" s="45" t="s">
        <v>4547</v>
      </c>
      <c r="E315" s="45" t="s">
        <v>4551</v>
      </c>
      <c r="F315" s="45" t="s">
        <v>3969</v>
      </c>
      <c r="G315" s="45" t="s">
        <v>3970</v>
      </c>
      <c r="H315" s="45" t="s">
        <v>3971</v>
      </c>
      <c r="I315" s="45" t="s">
        <v>3972</v>
      </c>
      <c r="J315" s="45" t="s">
        <v>3973</v>
      </c>
      <c r="K315" s="45" t="s">
        <v>3974</v>
      </c>
      <c r="Z315" s="13" t="str">
        <f>Show!$B$157&amp;"S.27.01.04.09 Rows {"&amp;COLUMN($C$1)&amp;"}"&amp;"@ForceFilingCode:true"</f>
        <v>!S.27.01.04.09 Rows {3}@ForceFilingCode:true</v>
      </c>
      <c r="AA315" s="13" t="str">
        <f>Show!$B$157&amp;"S.27.01.04.09 Columns {"&amp;COLUMN($D$1)&amp;"}"</f>
        <v>!S.27.01.04.09 Columns {4}</v>
      </c>
    </row>
    <row r="316" spans="2:27">
      <c r="B316" s="43" t="s">
        <v>2880</v>
      </c>
      <c r="C316" s="44" t="s">
        <v>2878</v>
      </c>
      <c r="D316" s="56"/>
      <c r="E316" s="66"/>
      <c r="F316" s="66"/>
      <c r="G316" s="66"/>
      <c r="H316" s="66"/>
      <c r="I316" s="66"/>
      <c r="J316" s="66"/>
      <c r="K316" s="57"/>
    </row>
    <row r="317" spans="2:27">
      <c r="B317" s="47" t="s">
        <v>5292</v>
      </c>
      <c r="C317" s="41" t="s">
        <v>3542</v>
      </c>
      <c r="D317" s="60"/>
      <c r="E317" s="60"/>
      <c r="F317" s="60"/>
      <c r="G317" s="60"/>
      <c r="H317" s="60"/>
      <c r="I317" s="60"/>
      <c r="J317" s="60"/>
      <c r="K317" s="51"/>
    </row>
    <row r="319" spans="2:27">
      <c r="Z319" s="13" t="str">
        <f>Show!$B$157&amp;Show!$B$157&amp;"S.27.01.04.09 Rows {"&amp;COLUMN($C$1)&amp;"}"</f>
        <v>!!S.27.01.04.09 Rows {3}</v>
      </c>
      <c r="AA319" s="13" t="str">
        <f>Show!$B$157&amp;Show!$B$157&amp;"S.27.01.04.09 Columns {"&amp;COLUMN($K$1)&amp;"}"</f>
        <v>!!S.27.01.04.09 Columns {11}</v>
      </c>
    </row>
    <row r="321" spans="2:27" ht="18.75">
      <c r="B321" s="88" t="s">
        <v>5555</v>
      </c>
      <c r="C321" s="87"/>
      <c r="D321" s="87"/>
      <c r="E321" s="87"/>
      <c r="F321" s="87"/>
      <c r="G321" s="87"/>
      <c r="H321" s="87"/>
      <c r="I321" s="87"/>
      <c r="J321" s="87"/>
      <c r="K321" s="87"/>
      <c r="L321" s="87"/>
    </row>
    <row r="325" spans="2:27">
      <c r="D325" s="92" t="s">
        <v>2877</v>
      </c>
      <c r="E325" s="93"/>
      <c r="F325" s="93"/>
      <c r="G325" s="93"/>
      <c r="H325" s="93"/>
      <c r="I325" s="93"/>
      <c r="J325" s="93"/>
      <c r="K325" s="93"/>
      <c r="L325" s="93"/>
      <c r="M325" s="94"/>
    </row>
    <row r="326" spans="2:27">
      <c r="D326" s="95"/>
      <c r="E326" s="96"/>
      <c r="F326" s="96"/>
      <c r="G326" s="96"/>
      <c r="H326" s="96"/>
      <c r="I326" s="96"/>
      <c r="J326" s="96"/>
      <c r="K326" s="96"/>
      <c r="L326" s="96"/>
      <c r="M326" s="97"/>
    </row>
    <row r="327" spans="2:27" ht="120">
      <c r="D327" s="55" t="s">
        <v>5294</v>
      </c>
      <c r="E327" s="55" t="s">
        <v>5295</v>
      </c>
      <c r="F327" s="55" t="s">
        <v>5296</v>
      </c>
      <c r="G327" s="55" t="s">
        <v>5297</v>
      </c>
      <c r="H327" s="55" t="s">
        <v>5298</v>
      </c>
      <c r="I327" s="55" t="s">
        <v>5299</v>
      </c>
      <c r="J327" s="55" t="s">
        <v>5120</v>
      </c>
      <c r="K327" s="55" t="s">
        <v>5121</v>
      </c>
      <c r="L327" s="55" t="s">
        <v>5300</v>
      </c>
      <c r="M327" s="55" t="s">
        <v>5301</v>
      </c>
    </row>
    <row r="328" spans="2:27">
      <c r="D328" s="45" t="s">
        <v>3975</v>
      </c>
      <c r="E328" s="45" t="s">
        <v>3976</v>
      </c>
      <c r="F328" s="45" t="s">
        <v>3977</v>
      </c>
      <c r="G328" s="45" t="s">
        <v>3978</v>
      </c>
      <c r="H328" s="45" t="s">
        <v>3979</v>
      </c>
      <c r="I328" s="45" t="s">
        <v>3980</v>
      </c>
      <c r="J328" s="45" t="s">
        <v>3981</v>
      </c>
      <c r="K328" s="45" t="s">
        <v>3982</v>
      </c>
      <c r="L328" s="45" t="s">
        <v>3983</v>
      </c>
      <c r="M328" s="45" t="s">
        <v>3984</v>
      </c>
      <c r="Z328" s="13" t="str">
        <f>Show!$B$157&amp;"S.27.01.04.10 Rows {"&amp;COLUMN($C$1)&amp;"}"&amp;"@ForceFilingCode:true"</f>
        <v>!S.27.01.04.10 Rows {3}@ForceFilingCode:true</v>
      </c>
      <c r="AA328" s="13" t="str">
        <f>Show!$B$157&amp;"S.27.01.04.10 Columns {"&amp;COLUMN($D$1)&amp;"}"</f>
        <v>!S.27.01.04.10 Columns {4}</v>
      </c>
    </row>
    <row r="329" spans="2:27">
      <c r="B329" s="43" t="s">
        <v>2880</v>
      </c>
      <c r="C329" s="44" t="s">
        <v>2878</v>
      </c>
      <c r="D329" s="56"/>
      <c r="E329" s="66"/>
      <c r="F329" s="66"/>
      <c r="G329" s="66"/>
      <c r="H329" s="66"/>
      <c r="I329" s="66"/>
      <c r="J329" s="66"/>
      <c r="K329" s="66"/>
      <c r="L329" s="66"/>
      <c r="M329" s="57"/>
    </row>
    <row r="330" spans="2:27">
      <c r="B330" s="47" t="s">
        <v>5302</v>
      </c>
      <c r="C330" s="41" t="s">
        <v>3545</v>
      </c>
      <c r="D330" s="60"/>
      <c r="E330" s="60"/>
      <c r="F330" s="60"/>
      <c r="G330" s="60"/>
      <c r="H330" s="60"/>
      <c r="I330" s="60"/>
      <c r="J330" s="60"/>
      <c r="K330" s="60"/>
      <c r="L330" s="60"/>
      <c r="M330" s="51"/>
    </row>
    <row r="332" spans="2:27">
      <c r="Z332" s="13" t="str">
        <f>Show!$B$157&amp;Show!$B$157&amp;"S.27.01.04.10 Rows {"&amp;COLUMN($C$1)&amp;"}"</f>
        <v>!!S.27.01.04.10 Rows {3}</v>
      </c>
      <c r="AA332" s="13" t="str">
        <f>Show!$B$157&amp;Show!$B$157&amp;"S.27.01.04.10 Columns {"&amp;COLUMN($M$1)&amp;"}"</f>
        <v>!!S.27.01.04.10 Columns {13}</v>
      </c>
    </row>
    <row r="334" spans="2:27" ht="18.75">
      <c r="B334" s="88" t="s">
        <v>5556</v>
      </c>
      <c r="C334" s="87"/>
      <c r="D334" s="87"/>
      <c r="E334" s="87"/>
      <c r="F334" s="87"/>
      <c r="G334" s="87"/>
      <c r="H334" s="87"/>
      <c r="I334" s="87"/>
      <c r="J334" s="87"/>
      <c r="K334" s="87"/>
      <c r="L334" s="87"/>
    </row>
    <row r="338" spans="2:27">
      <c r="D338" s="92" t="s">
        <v>2877</v>
      </c>
      <c r="E338" s="93"/>
      <c r="F338" s="94"/>
    </row>
    <row r="339" spans="2:27">
      <c r="D339" s="95"/>
      <c r="E339" s="96"/>
      <c r="F339" s="97"/>
    </row>
    <row r="340" spans="2:27">
      <c r="D340" s="98" t="s">
        <v>5304</v>
      </c>
      <c r="E340" s="100"/>
      <c r="F340" s="99"/>
    </row>
    <row r="341" spans="2:27" ht="60">
      <c r="D341" s="55" t="s">
        <v>5305</v>
      </c>
      <c r="E341" s="55" t="s">
        <v>5306</v>
      </c>
      <c r="F341" s="55" t="s">
        <v>5307</v>
      </c>
    </row>
    <row r="342" spans="2:27">
      <c r="D342" s="45" t="s">
        <v>3986</v>
      </c>
      <c r="E342" s="45" t="s">
        <v>3987</v>
      </c>
      <c r="F342" s="45" t="s">
        <v>4583</v>
      </c>
      <c r="Z342" s="13" t="str">
        <f>Show!$B$157&amp;"S.27.01.04.11 Rows {"&amp;COLUMN($C$1)&amp;"}"&amp;"@ForceFilingCode:true"</f>
        <v>!S.27.01.04.11 Rows {3}@ForceFilingCode:true</v>
      </c>
      <c r="AA342" s="13" t="str">
        <f>Show!$B$157&amp;"S.27.01.04.11 Columns {"&amp;COLUMN($D$1)&amp;"}"</f>
        <v>!S.27.01.04.11 Columns {4}</v>
      </c>
    </row>
    <row r="343" spans="2:27">
      <c r="B343" s="43" t="s">
        <v>2880</v>
      </c>
      <c r="C343" s="44" t="s">
        <v>2878</v>
      </c>
      <c r="D343" s="56"/>
      <c r="E343" s="66"/>
      <c r="F343" s="57"/>
    </row>
    <row r="344" spans="2:27">
      <c r="B344" s="47" t="s">
        <v>5308</v>
      </c>
      <c r="C344" s="41" t="s">
        <v>3548</v>
      </c>
      <c r="D344" s="60"/>
      <c r="E344" s="63"/>
      <c r="F344" s="60"/>
    </row>
    <row r="345" spans="2:27">
      <c r="B345" s="47" t="s">
        <v>5309</v>
      </c>
      <c r="C345" s="41" t="s">
        <v>5310</v>
      </c>
      <c r="D345" s="64"/>
      <c r="E345" s="46"/>
      <c r="F345" s="60"/>
    </row>
    <row r="346" spans="2:27">
      <c r="B346" s="47" t="s">
        <v>5311</v>
      </c>
      <c r="C346" s="41" t="s">
        <v>5312</v>
      </c>
      <c r="D346" s="60"/>
      <c r="E346" s="60"/>
      <c r="F346" s="60"/>
    </row>
    <row r="348" spans="2:27">
      <c r="Z348" s="13" t="str">
        <f>Show!$B$157&amp;Show!$B$157&amp;"S.27.01.04.11 Rows {"&amp;COLUMN($C$1)&amp;"}"</f>
        <v>!!S.27.01.04.11 Rows {3}</v>
      </c>
      <c r="AA348" s="13" t="str">
        <f>Show!$B$157&amp;Show!$B$157&amp;"S.27.01.04.11 Columns {"&amp;COLUMN($F$1)&amp;"}"</f>
        <v>!!S.27.01.04.11 Columns {6}</v>
      </c>
    </row>
    <row r="350" spans="2:27" ht="18.75">
      <c r="B350" s="88" t="s">
        <v>5557</v>
      </c>
      <c r="C350" s="87"/>
      <c r="D350" s="87"/>
      <c r="E350" s="87"/>
      <c r="F350" s="87"/>
      <c r="G350" s="87"/>
      <c r="H350" s="87"/>
      <c r="I350" s="87"/>
      <c r="J350" s="87"/>
      <c r="K350" s="87"/>
      <c r="L350" s="87"/>
    </row>
    <row r="354" spans="2:27">
      <c r="D354" s="92" t="s">
        <v>2877</v>
      </c>
      <c r="E354" s="93"/>
      <c r="F354" s="93"/>
      <c r="G354" s="93"/>
      <c r="H354" s="93"/>
      <c r="I354" s="94"/>
    </row>
    <row r="355" spans="2:27">
      <c r="D355" s="95"/>
      <c r="E355" s="96"/>
      <c r="F355" s="96"/>
      <c r="G355" s="96"/>
      <c r="H355" s="96"/>
      <c r="I355" s="97"/>
    </row>
    <row r="356" spans="2:27">
      <c r="D356" s="98" t="s">
        <v>5314</v>
      </c>
      <c r="E356" s="100"/>
      <c r="F356" s="100"/>
      <c r="G356" s="100"/>
      <c r="H356" s="100"/>
      <c r="I356" s="99"/>
    </row>
    <row r="357" spans="2:27" ht="60">
      <c r="D357" s="55" t="s">
        <v>5315</v>
      </c>
      <c r="E357" s="55" t="s">
        <v>5316</v>
      </c>
      <c r="F357" s="55" t="s">
        <v>5317</v>
      </c>
      <c r="G357" s="55" t="s">
        <v>5120</v>
      </c>
      <c r="H357" s="55" t="s">
        <v>5121</v>
      </c>
      <c r="I357" s="55" t="s">
        <v>5318</v>
      </c>
    </row>
    <row r="358" spans="2:27">
      <c r="D358" s="45" t="s">
        <v>4585</v>
      </c>
      <c r="E358" s="45" t="s">
        <v>3989</v>
      </c>
      <c r="F358" s="45" t="s">
        <v>3990</v>
      </c>
      <c r="G358" s="45" t="s">
        <v>3991</v>
      </c>
      <c r="H358" s="45" t="s">
        <v>3992</v>
      </c>
      <c r="I358" s="45" t="s">
        <v>3993</v>
      </c>
      <c r="Z358" s="13" t="str">
        <f>Show!$B$157&amp;"S.27.01.04.12 Rows {"&amp;COLUMN($C$1)&amp;"}"&amp;"@ForceFilingCode:true"</f>
        <v>!S.27.01.04.12 Rows {3}@ForceFilingCode:true</v>
      </c>
      <c r="AA358" s="13" t="str">
        <f>Show!$B$157&amp;"S.27.01.04.12 Columns {"&amp;COLUMN($D$1)&amp;"}"</f>
        <v>!S.27.01.04.12 Columns {4}</v>
      </c>
    </row>
    <row r="359" spans="2:27">
      <c r="B359" s="43" t="s">
        <v>2880</v>
      </c>
      <c r="C359" s="44" t="s">
        <v>2878</v>
      </c>
      <c r="D359" s="56"/>
      <c r="E359" s="66"/>
      <c r="F359" s="66"/>
      <c r="G359" s="66"/>
      <c r="H359" s="66"/>
      <c r="I359" s="57"/>
    </row>
    <row r="360" spans="2:27">
      <c r="B360" s="47" t="s">
        <v>5319</v>
      </c>
      <c r="C360" s="41" t="s">
        <v>3549</v>
      </c>
      <c r="D360" s="60"/>
      <c r="E360" s="60"/>
      <c r="F360" s="60"/>
      <c r="G360" s="60"/>
      <c r="H360" s="60"/>
      <c r="I360" s="60"/>
    </row>
    <row r="362" spans="2:27">
      <c r="Z362" s="13" t="str">
        <f>Show!$B$157&amp;Show!$B$157&amp;"S.27.01.04.12 Rows {"&amp;COLUMN($C$1)&amp;"}"</f>
        <v>!!S.27.01.04.12 Rows {3}</v>
      </c>
      <c r="AA362" s="13" t="str">
        <f>Show!$B$157&amp;Show!$B$157&amp;"S.27.01.04.12 Columns {"&amp;COLUMN($I$1)&amp;"}"</f>
        <v>!!S.27.01.04.12 Columns {9}</v>
      </c>
    </row>
    <row r="364" spans="2:27" ht="18.75">
      <c r="B364" s="88" t="s">
        <v>5558</v>
      </c>
      <c r="C364" s="87"/>
      <c r="D364" s="87"/>
      <c r="E364" s="87"/>
      <c r="F364" s="87"/>
      <c r="G364" s="87"/>
      <c r="H364" s="87"/>
      <c r="I364" s="87"/>
      <c r="J364" s="87"/>
      <c r="K364" s="87"/>
      <c r="L364" s="87"/>
    </row>
    <row r="368" spans="2:27">
      <c r="D368" s="92" t="s">
        <v>2877</v>
      </c>
      <c r="E368" s="93"/>
      <c r="F368" s="93"/>
      <c r="G368" s="94"/>
    </row>
    <row r="369" spans="2:27">
      <c r="D369" s="95"/>
      <c r="E369" s="96"/>
      <c r="F369" s="96"/>
      <c r="G369" s="97"/>
    </row>
    <row r="370" spans="2:27">
      <c r="D370" s="98" t="s">
        <v>5321</v>
      </c>
      <c r="E370" s="100"/>
      <c r="F370" s="100"/>
      <c r="G370" s="99"/>
    </row>
    <row r="371" spans="2:27" ht="60">
      <c r="D371" s="55" t="s">
        <v>5322</v>
      </c>
      <c r="E371" s="55" t="s">
        <v>5120</v>
      </c>
      <c r="F371" s="55" t="s">
        <v>5121</v>
      </c>
      <c r="G371" s="55" t="s">
        <v>5323</v>
      </c>
    </row>
    <row r="372" spans="2:27">
      <c r="D372" s="45" t="s">
        <v>3994</v>
      </c>
      <c r="E372" s="45" t="s">
        <v>3995</v>
      </c>
      <c r="F372" s="45" t="s">
        <v>3996</v>
      </c>
      <c r="G372" s="45" t="s">
        <v>3997</v>
      </c>
      <c r="Z372" s="13" t="str">
        <f>Show!$B$157&amp;"S.27.01.04.13 Rows {"&amp;COLUMN($C$1)&amp;"}"&amp;"@ForceFilingCode:true"</f>
        <v>!S.27.01.04.13 Rows {3}@ForceFilingCode:true</v>
      </c>
      <c r="AA372" s="13" t="str">
        <f>Show!$B$157&amp;"S.27.01.04.13 Columns {"&amp;COLUMN($D$1)&amp;"}"</f>
        <v>!S.27.01.04.13 Columns {4}</v>
      </c>
    </row>
    <row r="373" spans="2:27">
      <c r="B373" s="43" t="s">
        <v>2880</v>
      </c>
      <c r="C373" s="44" t="s">
        <v>2878</v>
      </c>
      <c r="D373" s="56"/>
      <c r="E373" s="66"/>
      <c r="F373" s="66"/>
      <c r="G373" s="57"/>
    </row>
    <row r="374" spans="2:27">
      <c r="B374" s="47" t="s">
        <v>5101</v>
      </c>
      <c r="C374" s="41" t="s">
        <v>3550</v>
      </c>
      <c r="D374" s="60"/>
      <c r="E374" s="60"/>
      <c r="F374" s="60"/>
      <c r="G374" s="60"/>
    </row>
    <row r="376" spans="2:27">
      <c r="Z376" s="13" t="str">
        <f>Show!$B$157&amp;Show!$B$157&amp;"S.27.01.04.13 Rows {"&amp;COLUMN($C$1)&amp;"}"</f>
        <v>!!S.27.01.04.13 Rows {3}</v>
      </c>
      <c r="AA376" s="13" t="str">
        <f>Show!$B$157&amp;Show!$B$157&amp;"S.27.01.04.13 Columns {"&amp;COLUMN($G$1)&amp;"}"</f>
        <v>!!S.27.01.04.13 Columns {7}</v>
      </c>
    </row>
    <row r="378" spans="2:27" ht="18.75">
      <c r="B378" s="88" t="s">
        <v>5559</v>
      </c>
      <c r="C378" s="87"/>
      <c r="D378" s="87"/>
      <c r="E378" s="87"/>
      <c r="F378" s="87"/>
      <c r="G378" s="87"/>
      <c r="H378" s="87"/>
      <c r="I378" s="87"/>
      <c r="J378" s="87"/>
      <c r="K378" s="87"/>
      <c r="L378" s="87"/>
    </row>
    <row r="382" spans="2:27">
      <c r="D382" s="92" t="s">
        <v>2877</v>
      </c>
      <c r="E382" s="93"/>
      <c r="F382" s="93"/>
      <c r="G382" s="93"/>
      <c r="H382" s="93"/>
      <c r="I382" s="93"/>
      <c r="J382" s="94"/>
    </row>
    <row r="383" spans="2:27">
      <c r="D383" s="95"/>
      <c r="E383" s="96"/>
      <c r="F383" s="96"/>
      <c r="G383" s="96"/>
      <c r="H383" s="96"/>
      <c r="I383" s="96"/>
      <c r="J383" s="97"/>
    </row>
    <row r="384" spans="2:27">
      <c r="D384" s="98" t="s">
        <v>5325</v>
      </c>
      <c r="E384" s="100"/>
      <c r="F384" s="100"/>
      <c r="G384" s="100"/>
      <c r="H384" s="100"/>
      <c r="I384" s="100"/>
      <c r="J384" s="99"/>
    </row>
    <row r="385" spans="2:27" ht="60">
      <c r="D385" s="55" t="s">
        <v>5326</v>
      </c>
      <c r="E385" s="55" t="s">
        <v>5327</v>
      </c>
      <c r="F385" s="55" t="s">
        <v>4151</v>
      </c>
      <c r="G385" s="55" t="s">
        <v>5328</v>
      </c>
      <c r="H385" s="55" t="s">
        <v>5120</v>
      </c>
      <c r="I385" s="55" t="s">
        <v>5121</v>
      </c>
      <c r="J385" s="55" t="s">
        <v>5329</v>
      </c>
    </row>
    <row r="386" spans="2:27">
      <c r="D386" s="45" t="s">
        <v>3998</v>
      </c>
      <c r="E386" s="45" t="s">
        <v>3999</v>
      </c>
      <c r="F386" s="45" t="s">
        <v>4000</v>
      </c>
      <c r="G386" s="45" t="s">
        <v>4001</v>
      </c>
      <c r="H386" s="45" t="s">
        <v>4002</v>
      </c>
      <c r="I386" s="45" t="s">
        <v>4003</v>
      </c>
      <c r="J386" s="45" t="s">
        <v>4004</v>
      </c>
      <c r="Z386" s="13" t="str">
        <f>Show!$B$157&amp;"S.27.01.04.14 Rows {"&amp;COLUMN($C$1)&amp;"}"&amp;"@ForceFilingCode:true"</f>
        <v>!S.27.01.04.14 Rows {3}@ForceFilingCode:true</v>
      </c>
      <c r="AA386" s="13" t="str">
        <f>Show!$B$157&amp;"S.27.01.04.14 Columns {"&amp;COLUMN($D$1)&amp;"}"</f>
        <v>!S.27.01.04.14 Columns {4}</v>
      </c>
    </row>
    <row r="387" spans="2:27">
      <c r="B387" s="43" t="s">
        <v>2880</v>
      </c>
      <c r="C387" s="44" t="s">
        <v>2878</v>
      </c>
      <c r="D387" s="56"/>
      <c r="E387" s="66"/>
      <c r="F387" s="66"/>
      <c r="G387" s="66"/>
      <c r="H387" s="66"/>
      <c r="I387" s="66"/>
      <c r="J387" s="57"/>
    </row>
    <row r="388" spans="2:27">
      <c r="B388" s="47" t="s">
        <v>5330</v>
      </c>
      <c r="C388" s="41" t="s">
        <v>3552</v>
      </c>
      <c r="D388" s="60"/>
      <c r="E388" s="60"/>
      <c r="F388" s="50"/>
      <c r="G388" s="60"/>
      <c r="H388" s="60"/>
      <c r="I388" s="60"/>
      <c r="J388" s="60"/>
    </row>
    <row r="389" spans="2:27">
      <c r="B389" s="47" t="s">
        <v>5331</v>
      </c>
      <c r="C389" s="41" t="s">
        <v>5332</v>
      </c>
      <c r="D389" s="60"/>
      <c r="E389" s="60"/>
      <c r="F389" s="50"/>
      <c r="G389" s="60"/>
      <c r="H389" s="60"/>
      <c r="I389" s="60"/>
      <c r="J389" s="60"/>
    </row>
    <row r="390" spans="2:27">
      <c r="B390" s="47" t="s">
        <v>5333</v>
      </c>
      <c r="C390" s="41" t="s">
        <v>5334</v>
      </c>
      <c r="D390" s="60"/>
      <c r="E390" s="60"/>
      <c r="F390" s="50"/>
      <c r="G390" s="60"/>
      <c r="H390" s="60"/>
      <c r="I390" s="60"/>
      <c r="J390" s="60"/>
    </row>
    <row r="391" spans="2:27">
      <c r="B391" s="47" t="s">
        <v>5335</v>
      </c>
      <c r="C391" s="41" t="s">
        <v>5336</v>
      </c>
      <c r="D391" s="60"/>
      <c r="E391" s="60"/>
      <c r="F391" s="50"/>
      <c r="G391" s="60"/>
      <c r="H391" s="60"/>
      <c r="I391" s="60"/>
      <c r="J391" s="60"/>
    </row>
    <row r="392" spans="2:27">
      <c r="B392" s="47" t="s">
        <v>5337</v>
      </c>
      <c r="C392" s="41" t="s">
        <v>5338</v>
      </c>
      <c r="D392" s="60"/>
      <c r="E392" s="63"/>
      <c r="F392" s="74"/>
      <c r="G392" s="60"/>
      <c r="H392" s="60"/>
      <c r="I392" s="60"/>
      <c r="J392" s="60"/>
    </row>
    <row r="393" spans="2:27">
      <c r="B393" s="47" t="s">
        <v>3480</v>
      </c>
      <c r="C393" s="41" t="s">
        <v>5339</v>
      </c>
      <c r="D393" s="64"/>
      <c r="E393" s="56"/>
      <c r="F393" s="46"/>
      <c r="G393" s="60"/>
      <c r="H393" s="60"/>
      <c r="I393" s="60"/>
      <c r="J393" s="60"/>
    </row>
    <row r="395" spans="2:27">
      <c r="Z395" s="13" t="str">
        <f>Show!$B$157&amp;Show!$B$157&amp;"S.27.01.04.14 Rows {"&amp;COLUMN($C$1)&amp;"}"</f>
        <v>!!S.27.01.04.14 Rows {3}</v>
      </c>
      <c r="AA395" s="13" t="str">
        <f>Show!$B$157&amp;Show!$B$157&amp;"S.27.01.04.14 Columns {"&amp;COLUMN($J$1)&amp;"}"</f>
        <v>!!S.27.01.04.14 Columns {10}</v>
      </c>
    </row>
    <row r="397" spans="2:27" ht="18.75">
      <c r="B397" s="88" t="s">
        <v>5560</v>
      </c>
      <c r="C397" s="87"/>
      <c r="D397" s="87"/>
      <c r="E397" s="87"/>
      <c r="F397" s="87"/>
      <c r="G397" s="87"/>
      <c r="H397" s="87"/>
      <c r="I397" s="87"/>
      <c r="J397" s="87"/>
      <c r="K397" s="87"/>
      <c r="L397" s="87"/>
    </row>
    <row r="401" spans="2:27">
      <c r="D401" s="92" t="s">
        <v>2877</v>
      </c>
      <c r="E401" s="93"/>
      <c r="F401" s="94"/>
    </row>
    <row r="402" spans="2:27">
      <c r="D402" s="95"/>
      <c r="E402" s="96"/>
      <c r="F402" s="97"/>
    </row>
    <row r="403" spans="2:27">
      <c r="D403" s="98" t="s">
        <v>5325</v>
      </c>
      <c r="E403" s="100"/>
      <c r="F403" s="99"/>
    </row>
    <row r="404" spans="2:27" ht="60">
      <c r="D404" s="55" t="s">
        <v>5328</v>
      </c>
      <c r="E404" s="55" t="s">
        <v>5306</v>
      </c>
      <c r="F404" s="55" t="s">
        <v>5329</v>
      </c>
    </row>
    <row r="405" spans="2:27">
      <c r="D405" s="45" t="s">
        <v>4006</v>
      </c>
      <c r="E405" s="45" t="s">
        <v>4560</v>
      </c>
      <c r="F405" s="45" t="s">
        <v>5341</v>
      </c>
      <c r="Z405" s="13" t="str">
        <f>Show!$B$157&amp;"S.27.01.04.15 Rows {"&amp;COLUMN($C$1)&amp;"}"&amp;"@ForceFilingCode:true"</f>
        <v>!S.27.01.04.15 Rows {3}@ForceFilingCode:true</v>
      </c>
      <c r="AA405" s="13" t="str">
        <f>Show!$B$157&amp;"S.27.01.04.15 Columns {"&amp;COLUMN($D$1)&amp;"}"</f>
        <v>!S.27.01.04.15 Columns {4}</v>
      </c>
    </row>
    <row r="406" spans="2:27">
      <c r="B406" s="43" t="s">
        <v>2880</v>
      </c>
      <c r="C406" s="44" t="s">
        <v>2878</v>
      </c>
      <c r="D406" s="56"/>
      <c r="E406" s="66"/>
      <c r="F406" s="57"/>
    </row>
    <row r="407" spans="2:27">
      <c r="B407" s="47" t="s">
        <v>5308</v>
      </c>
      <c r="C407" s="41" t="s">
        <v>5342</v>
      </c>
      <c r="D407" s="60"/>
      <c r="E407" s="63"/>
      <c r="F407" s="60"/>
    </row>
    <row r="408" spans="2:27">
      <c r="B408" s="47" t="s">
        <v>5343</v>
      </c>
      <c r="C408" s="41" t="s">
        <v>5344</v>
      </c>
      <c r="D408" s="64"/>
      <c r="E408" s="46"/>
      <c r="F408" s="60"/>
    </row>
    <row r="409" spans="2:27">
      <c r="B409" s="47" t="s">
        <v>5311</v>
      </c>
      <c r="C409" s="41" t="s">
        <v>5345</v>
      </c>
      <c r="D409" s="60"/>
      <c r="E409" s="60"/>
      <c r="F409" s="60"/>
    </row>
    <row r="411" spans="2:27">
      <c r="Z411" s="13" t="str">
        <f>Show!$B$157&amp;Show!$B$157&amp;"S.27.01.04.15 Rows {"&amp;COLUMN($C$1)&amp;"}"</f>
        <v>!!S.27.01.04.15 Rows {3}</v>
      </c>
      <c r="AA411" s="13" t="str">
        <f>Show!$B$157&amp;Show!$B$157&amp;"S.27.01.04.15 Columns {"&amp;COLUMN($F$1)&amp;"}"</f>
        <v>!!S.27.01.04.15 Columns {6}</v>
      </c>
    </row>
    <row r="413" spans="2:27" ht="18.75">
      <c r="B413" s="88" t="s">
        <v>5561</v>
      </c>
      <c r="C413" s="87"/>
      <c r="D413" s="87"/>
      <c r="E413" s="87"/>
      <c r="F413" s="87"/>
      <c r="G413" s="87"/>
      <c r="H413" s="87"/>
      <c r="I413" s="87"/>
      <c r="J413" s="87"/>
      <c r="K413" s="87"/>
      <c r="L413" s="87"/>
    </row>
    <row r="417" spans="2:27">
      <c r="D417" s="92" t="s">
        <v>2877</v>
      </c>
      <c r="E417" s="93"/>
      <c r="F417" s="93"/>
      <c r="G417" s="93"/>
      <c r="H417" s="93"/>
      <c r="I417" s="94"/>
    </row>
    <row r="418" spans="2:27">
      <c r="D418" s="95"/>
      <c r="E418" s="96"/>
      <c r="F418" s="96"/>
      <c r="G418" s="96"/>
      <c r="H418" s="96"/>
      <c r="I418" s="97"/>
    </row>
    <row r="419" spans="2:27">
      <c r="D419" s="98" t="s">
        <v>5347</v>
      </c>
      <c r="E419" s="100"/>
      <c r="F419" s="100"/>
      <c r="G419" s="100"/>
      <c r="H419" s="100"/>
      <c r="I419" s="99"/>
    </row>
    <row r="420" spans="2:27" ht="105">
      <c r="D420" s="55" t="s">
        <v>5348</v>
      </c>
      <c r="E420" s="55" t="s">
        <v>5350</v>
      </c>
      <c r="F420" s="55" t="s">
        <v>5351</v>
      </c>
      <c r="G420" s="55" t="s">
        <v>5120</v>
      </c>
      <c r="H420" s="55" t="s">
        <v>5121</v>
      </c>
      <c r="I420" s="55" t="s">
        <v>5352</v>
      </c>
    </row>
    <row r="421" spans="2:27">
      <c r="D421" s="45" t="s">
        <v>5349</v>
      </c>
      <c r="E421" s="45" t="s">
        <v>4008</v>
      </c>
      <c r="F421" s="45" t="s">
        <v>4009</v>
      </c>
      <c r="G421" s="45" t="s">
        <v>4010</v>
      </c>
      <c r="H421" s="45" t="s">
        <v>4011</v>
      </c>
      <c r="I421" s="45" t="s">
        <v>4012</v>
      </c>
      <c r="Z421" s="13" t="str">
        <f>Show!$B$157&amp;"S.27.01.04.16 Rows {"&amp;COLUMN($C$1)&amp;"}"&amp;"@ForceFilingCode:true"</f>
        <v>!S.27.01.04.16 Rows {3}@ForceFilingCode:true</v>
      </c>
      <c r="AA421" s="13" t="str">
        <f>Show!$B$157&amp;"S.27.01.04.16 Columns {"&amp;COLUMN($D$1)&amp;"}"</f>
        <v>!S.27.01.04.16 Columns {4}</v>
      </c>
    </row>
    <row r="422" spans="2:27">
      <c r="B422" s="43" t="s">
        <v>2880</v>
      </c>
      <c r="C422" s="44" t="s">
        <v>2878</v>
      </c>
      <c r="D422" s="56"/>
      <c r="E422" s="66"/>
      <c r="F422" s="66"/>
      <c r="G422" s="66"/>
      <c r="H422" s="66"/>
      <c r="I422" s="57"/>
    </row>
    <row r="423" spans="2:27">
      <c r="B423" s="47" t="s">
        <v>5353</v>
      </c>
      <c r="C423" s="41" t="s">
        <v>5354</v>
      </c>
      <c r="D423" s="60"/>
      <c r="E423" s="70"/>
      <c r="F423" s="60"/>
      <c r="G423" s="60"/>
      <c r="H423" s="60"/>
      <c r="I423" s="60"/>
    </row>
    <row r="424" spans="2:27">
      <c r="B424" s="47" t="s">
        <v>5355</v>
      </c>
      <c r="C424" s="41" t="s">
        <v>5356</v>
      </c>
      <c r="D424" s="60"/>
      <c r="E424" s="70"/>
      <c r="F424" s="60"/>
      <c r="G424" s="60"/>
      <c r="H424" s="60"/>
      <c r="I424" s="60"/>
    </row>
    <row r="425" spans="2:27">
      <c r="B425" s="47" t="s">
        <v>3480</v>
      </c>
      <c r="C425" s="41" t="s">
        <v>5357</v>
      </c>
      <c r="D425" s="60"/>
      <c r="E425" s="70"/>
      <c r="F425" s="60"/>
      <c r="G425" s="60"/>
      <c r="H425" s="60"/>
      <c r="I425" s="60"/>
    </row>
    <row r="427" spans="2:27">
      <c r="Z427" s="13" t="str">
        <f>Show!$B$157&amp;Show!$B$157&amp;"S.27.01.04.16 Rows {"&amp;COLUMN($C$1)&amp;"}"</f>
        <v>!!S.27.01.04.16 Rows {3}</v>
      </c>
      <c r="AA427" s="13" t="str">
        <f>Show!$B$157&amp;Show!$B$157&amp;"S.27.01.04.16 Columns {"&amp;COLUMN($I$1)&amp;"}"</f>
        <v>!!S.27.01.04.16 Columns {9}</v>
      </c>
    </row>
    <row r="429" spans="2:27" ht="18.75">
      <c r="B429" s="88" t="s">
        <v>5562</v>
      </c>
      <c r="C429" s="87"/>
      <c r="D429" s="87"/>
      <c r="E429" s="87"/>
      <c r="F429" s="87"/>
      <c r="G429" s="87"/>
      <c r="H429" s="87"/>
      <c r="I429" s="87"/>
      <c r="J429" s="87"/>
      <c r="K429" s="87"/>
      <c r="L429" s="87"/>
    </row>
    <row r="433" spans="2:27">
      <c r="D433" s="92" t="s">
        <v>2877</v>
      </c>
      <c r="E433" s="93"/>
      <c r="F433" s="93"/>
      <c r="G433" s="93"/>
      <c r="H433" s="94"/>
    </row>
    <row r="434" spans="2:27">
      <c r="D434" s="95"/>
      <c r="E434" s="96"/>
      <c r="F434" s="96"/>
      <c r="G434" s="96"/>
      <c r="H434" s="97"/>
    </row>
    <row r="435" spans="2:27">
      <c r="D435" s="98" t="s">
        <v>5359</v>
      </c>
      <c r="E435" s="100"/>
      <c r="F435" s="100"/>
      <c r="G435" s="100"/>
      <c r="H435" s="99"/>
    </row>
    <row r="436" spans="2:27" ht="105">
      <c r="D436" s="55" t="s">
        <v>5326</v>
      </c>
      <c r="E436" s="55" t="s">
        <v>5360</v>
      </c>
      <c r="F436" s="55" t="s">
        <v>5120</v>
      </c>
      <c r="G436" s="55" t="s">
        <v>5121</v>
      </c>
      <c r="H436" s="55" t="s">
        <v>5361</v>
      </c>
    </row>
    <row r="437" spans="2:27">
      <c r="D437" s="45" t="s">
        <v>4013</v>
      </c>
      <c r="E437" s="45" t="s">
        <v>4014</v>
      </c>
      <c r="F437" s="45" t="s">
        <v>4015</v>
      </c>
      <c r="G437" s="45" t="s">
        <v>4016</v>
      </c>
      <c r="H437" s="45" t="s">
        <v>4017</v>
      </c>
      <c r="Z437" s="13" t="str">
        <f>Show!$B$157&amp;"S.27.01.04.17 Rows {"&amp;COLUMN($C$1)&amp;"}"&amp;"@ForceFilingCode:true"</f>
        <v>!S.27.01.04.17 Rows {3}@ForceFilingCode:true</v>
      </c>
      <c r="AA437" s="13" t="str">
        <f>Show!$B$157&amp;"S.27.01.04.17 Columns {"&amp;COLUMN($D$1)&amp;"}"</f>
        <v>!S.27.01.04.17 Columns {4}</v>
      </c>
    </row>
    <row r="438" spans="2:27">
      <c r="B438" s="43" t="s">
        <v>2880</v>
      </c>
      <c r="C438" s="44" t="s">
        <v>2878</v>
      </c>
      <c r="D438" s="56"/>
      <c r="E438" s="66"/>
      <c r="F438" s="66"/>
      <c r="G438" s="66"/>
      <c r="H438" s="57"/>
    </row>
    <row r="439" spans="2:27">
      <c r="B439" s="47" t="s">
        <v>3480</v>
      </c>
      <c r="C439" s="41" t="s">
        <v>5362</v>
      </c>
      <c r="D439" s="60"/>
      <c r="E439" s="60"/>
      <c r="F439" s="60"/>
      <c r="G439" s="60"/>
      <c r="H439" s="60"/>
    </row>
    <row r="441" spans="2:27">
      <c r="Z441" s="13" t="str">
        <f>Show!$B$157&amp;Show!$B$157&amp;"S.27.01.04.17 Rows {"&amp;COLUMN($C$1)&amp;"}"</f>
        <v>!!S.27.01.04.17 Rows {3}</v>
      </c>
      <c r="AA441" s="13" t="str">
        <f>Show!$B$157&amp;Show!$B$157&amp;"S.27.01.04.17 Columns {"&amp;COLUMN($H$1)&amp;"}"</f>
        <v>!!S.27.01.04.17 Columns {8}</v>
      </c>
    </row>
    <row r="443" spans="2:27" ht="18.75">
      <c r="B443" s="88" t="s">
        <v>5563</v>
      </c>
      <c r="C443" s="87"/>
      <c r="D443" s="87"/>
      <c r="E443" s="87"/>
      <c r="F443" s="87"/>
      <c r="G443" s="87"/>
      <c r="H443" s="87"/>
      <c r="I443" s="87"/>
      <c r="J443" s="87"/>
      <c r="K443" s="87"/>
      <c r="L443" s="87"/>
    </row>
    <row r="447" spans="2:27">
      <c r="D447" s="92" t="s">
        <v>2877</v>
      </c>
      <c r="E447" s="93"/>
      <c r="F447" s="94"/>
    </row>
    <row r="448" spans="2:27">
      <c r="D448" s="95"/>
      <c r="E448" s="96"/>
      <c r="F448" s="97"/>
    </row>
    <row r="449" spans="2:27">
      <c r="D449" s="98" t="s">
        <v>5364</v>
      </c>
      <c r="E449" s="100"/>
      <c r="F449" s="99"/>
    </row>
    <row r="450" spans="2:27" ht="90">
      <c r="D450" s="55" t="s">
        <v>5365</v>
      </c>
      <c r="E450" s="55" t="s">
        <v>5306</v>
      </c>
      <c r="F450" s="55" t="s">
        <v>5366</v>
      </c>
    </row>
    <row r="451" spans="2:27">
      <c r="D451" s="45" t="s">
        <v>4018</v>
      </c>
      <c r="E451" s="45" t="s">
        <v>4019</v>
      </c>
      <c r="F451" s="45" t="s">
        <v>4020</v>
      </c>
      <c r="Z451" s="13" t="str">
        <f>Show!$B$157&amp;"S.27.01.04.18 Rows {"&amp;COLUMN($C$1)&amp;"}"&amp;"@ForceFilingCode:true"</f>
        <v>!S.27.01.04.18 Rows {3}@ForceFilingCode:true</v>
      </c>
      <c r="AA451" s="13" t="str">
        <f>Show!$B$157&amp;"S.27.01.04.18 Columns {"&amp;COLUMN($D$1)&amp;"}"</f>
        <v>!S.27.01.04.18 Columns {4}</v>
      </c>
    </row>
    <row r="452" spans="2:27">
      <c r="B452" s="43" t="s">
        <v>2880</v>
      </c>
      <c r="C452" s="44" t="s">
        <v>2878</v>
      </c>
      <c r="D452" s="56"/>
      <c r="E452" s="66"/>
      <c r="F452" s="57"/>
    </row>
    <row r="453" spans="2:27">
      <c r="B453" s="47" t="s">
        <v>5308</v>
      </c>
      <c r="C453" s="41" t="s">
        <v>5367</v>
      </c>
      <c r="D453" s="60"/>
      <c r="E453" s="63"/>
      <c r="F453" s="60"/>
    </row>
    <row r="454" spans="2:27">
      <c r="B454" s="47" t="s">
        <v>5309</v>
      </c>
      <c r="C454" s="41" t="s">
        <v>5368</v>
      </c>
      <c r="D454" s="64"/>
      <c r="E454" s="46"/>
      <c r="F454" s="60"/>
    </row>
    <row r="455" spans="2:27">
      <c r="B455" s="47" t="s">
        <v>5311</v>
      </c>
      <c r="C455" s="41" t="s">
        <v>5369</v>
      </c>
      <c r="D455" s="60"/>
      <c r="E455" s="60"/>
      <c r="F455" s="60"/>
    </row>
    <row r="457" spans="2:27">
      <c r="Z457" s="13" t="str">
        <f>Show!$B$157&amp;Show!$B$157&amp;"S.27.01.04.18 Rows {"&amp;COLUMN($C$1)&amp;"}"</f>
        <v>!!S.27.01.04.18 Rows {3}</v>
      </c>
      <c r="AA457" s="13" t="str">
        <f>Show!$B$157&amp;Show!$B$157&amp;"S.27.01.04.18 Columns {"&amp;COLUMN($F$1)&amp;"}"</f>
        <v>!!S.27.01.04.18 Columns {6}</v>
      </c>
    </row>
    <row r="459" spans="2:27" ht="18.75">
      <c r="B459" s="88" t="s">
        <v>5564</v>
      </c>
      <c r="C459" s="87"/>
      <c r="D459" s="87"/>
      <c r="E459" s="87"/>
      <c r="F459" s="87"/>
      <c r="G459" s="87"/>
      <c r="H459" s="87"/>
      <c r="I459" s="87"/>
      <c r="J459" s="87"/>
      <c r="K459" s="87"/>
      <c r="L459" s="87"/>
    </row>
    <row r="463" spans="2:27">
      <c r="D463" s="92" t="s">
        <v>2877</v>
      </c>
      <c r="E463" s="93"/>
      <c r="F463" s="93"/>
      <c r="G463" s="94"/>
    </row>
    <row r="464" spans="2:27">
      <c r="D464" s="95"/>
      <c r="E464" s="96"/>
      <c r="F464" s="96"/>
      <c r="G464" s="97"/>
    </row>
    <row r="465" spans="2:27">
      <c r="D465" s="98" t="s">
        <v>5371</v>
      </c>
      <c r="E465" s="100"/>
      <c r="F465" s="100"/>
      <c r="G465" s="99"/>
    </row>
    <row r="466" spans="2:27" ht="90">
      <c r="D466" s="55" t="s">
        <v>5114</v>
      </c>
      <c r="E466" s="55" t="s">
        <v>5372</v>
      </c>
      <c r="F466" s="55" t="s">
        <v>5306</v>
      </c>
      <c r="G466" s="55" t="s">
        <v>5373</v>
      </c>
    </row>
    <row r="467" spans="2:27">
      <c r="D467" s="45" t="s">
        <v>4021</v>
      </c>
      <c r="E467" s="45" t="s">
        <v>4022</v>
      </c>
      <c r="F467" s="45" t="s">
        <v>4023</v>
      </c>
      <c r="G467" s="45" t="s">
        <v>4025</v>
      </c>
      <c r="Z467" s="13" t="str">
        <f>Show!$B$157&amp;"S.27.01.04.19 Rows {"&amp;COLUMN($C$1)&amp;"}"&amp;"@ForceFilingCode:true"</f>
        <v>!S.27.01.04.19 Rows {3}@ForceFilingCode:true</v>
      </c>
      <c r="AA467" s="13" t="str">
        <f>Show!$B$157&amp;"S.27.01.04.19 Columns {"&amp;COLUMN($D$1)&amp;"}"</f>
        <v>!S.27.01.04.19 Columns {4}</v>
      </c>
    </row>
    <row r="468" spans="2:27">
      <c r="B468" s="43" t="s">
        <v>2880</v>
      </c>
      <c r="C468" s="44" t="s">
        <v>2878</v>
      </c>
      <c r="D468" s="56"/>
      <c r="E468" s="66"/>
      <c r="F468" s="67"/>
      <c r="G468" s="59"/>
    </row>
    <row r="469" spans="2:27">
      <c r="B469" s="47" t="s">
        <v>5374</v>
      </c>
      <c r="C469" s="41" t="s">
        <v>5375</v>
      </c>
      <c r="D469" s="60"/>
      <c r="E469" s="64"/>
      <c r="F469" s="58"/>
      <c r="G469" s="48"/>
    </row>
    <row r="470" spans="2:27">
      <c r="B470" s="47" t="s">
        <v>5376</v>
      </c>
      <c r="C470" s="41" t="s">
        <v>5377</v>
      </c>
      <c r="D470" s="60"/>
      <c r="E470" s="64"/>
      <c r="F470" s="58"/>
      <c r="G470" s="48"/>
    </row>
    <row r="471" spans="2:27">
      <c r="B471" s="47" t="s">
        <v>3471</v>
      </c>
      <c r="C471" s="41" t="s">
        <v>5378</v>
      </c>
      <c r="D471" s="60"/>
      <c r="E471" s="64"/>
      <c r="F471" s="58"/>
      <c r="G471" s="48"/>
    </row>
    <row r="472" spans="2:27">
      <c r="B472" s="47" t="s">
        <v>5379</v>
      </c>
      <c r="C472" s="41" t="s">
        <v>5380</v>
      </c>
      <c r="D472" s="60"/>
      <c r="E472" s="64"/>
      <c r="F472" s="58"/>
      <c r="G472" s="48"/>
    </row>
    <row r="473" spans="2:27">
      <c r="B473" s="47" t="s">
        <v>5381</v>
      </c>
      <c r="C473" s="41" t="s">
        <v>5382</v>
      </c>
      <c r="D473" s="63"/>
      <c r="E473" s="64"/>
      <c r="F473" s="56"/>
      <c r="G473" s="46"/>
    </row>
    <row r="474" spans="2:27">
      <c r="B474" s="47" t="s">
        <v>5308</v>
      </c>
      <c r="C474" s="44" t="s">
        <v>5383</v>
      </c>
      <c r="D474" s="48"/>
      <c r="E474" s="60"/>
      <c r="F474" s="60"/>
      <c r="G474" s="60"/>
    </row>
    <row r="475" spans="2:27">
      <c r="B475" s="47" t="s">
        <v>5384</v>
      </c>
      <c r="C475" s="44" t="s">
        <v>5385</v>
      </c>
      <c r="D475" s="48"/>
      <c r="E475" s="60"/>
      <c r="F475" s="60"/>
      <c r="G475" s="60"/>
    </row>
    <row r="476" spans="2:27">
      <c r="B476" s="47" t="s">
        <v>5311</v>
      </c>
      <c r="C476" s="44" t="s">
        <v>5386</v>
      </c>
      <c r="D476" s="46"/>
      <c r="E476" s="60"/>
      <c r="F476" s="60"/>
      <c r="G476" s="60"/>
    </row>
    <row r="478" spans="2:27">
      <c r="Z478" s="13" t="str">
        <f>Show!$B$157&amp;Show!$B$157&amp;"S.27.01.04.19 Rows {"&amp;COLUMN($C$1)&amp;"}"</f>
        <v>!!S.27.01.04.19 Rows {3}</v>
      </c>
      <c r="AA478" s="13" t="str">
        <f>Show!$B$157&amp;Show!$B$157&amp;"S.27.01.04.19 Columns {"&amp;COLUMN($G$1)&amp;"}"</f>
        <v>!!S.27.01.04.19 Columns {7}</v>
      </c>
    </row>
    <row r="480" spans="2:27" ht="18.75">
      <c r="B480" s="88" t="s">
        <v>5565</v>
      </c>
      <c r="C480" s="87"/>
      <c r="D480" s="87"/>
      <c r="E480" s="87"/>
      <c r="F480" s="87"/>
      <c r="G480" s="87"/>
      <c r="H480" s="87"/>
      <c r="I480" s="87"/>
      <c r="J480" s="87"/>
      <c r="K480" s="87"/>
      <c r="L480" s="87"/>
    </row>
    <row r="484" spans="2:27">
      <c r="D484" s="92" t="s">
        <v>2877</v>
      </c>
      <c r="E484" s="93"/>
      <c r="F484" s="93"/>
      <c r="G484" s="93"/>
      <c r="H484" s="93"/>
      <c r="I484" s="93"/>
      <c r="J484" s="93"/>
      <c r="K484" s="93"/>
      <c r="L484" s="93"/>
      <c r="M484" s="93"/>
      <c r="N484" s="93"/>
      <c r="O484" s="94"/>
    </row>
    <row r="485" spans="2:27">
      <c r="D485" s="95"/>
      <c r="E485" s="96"/>
      <c r="F485" s="96"/>
      <c r="G485" s="96"/>
      <c r="H485" s="96"/>
      <c r="I485" s="96"/>
      <c r="J485" s="96"/>
      <c r="K485" s="96"/>
      <c r="L485" s="96"/>
      <c r="M485" s="96"/>
      <c r="N485" s="96"/>
      <c r="O485" s="97"/>
    </row>
    <row r="486" spans="2:27">
      <c r="D486" s="98" t="s">
        <v>5388</v>
      </c>
      <c r="E486" s="99"/>
      <c r="F486" s="98" t="s">
        <v>5393</v>
      </c>
      <c r="G486" s="99"/>
      <c r="H486" s="98" t="s">
        <v>5395</v>
      </c>
      <c r="I486" s="99"/>
      <c r="J486" s="98" t="s">
        <v>5396</v>
      </c>
      <c r="K486" s="99"/>
      <c r="L486" s="89" t="s">
        <v>5119</v>
      </c>
      <c r="M486" s="89" t="s">
        <v>5120</v>
      </c>
      <c r="N486" s="89" t="s">
        <v>5121</v>
      </c>
      <c r="O486" s="89" t="s">
        <v>5122</v>
      </c>
    </row>
    <row r="487" spans="2:27" ht="45">
      <c r="D487" s="55" t="s">
        <v>5389</v>
      </c>
      <c r="E487" s="55" t="s">
        <v>5391</v>
      </c>
      <c r="F487" s="55" t="s">
        <v>5389</v>
      </c>
      <c r="G487" s="55" t="s">
        <v>5391</v>
      </c>
      <c r="H487" s="55" t="s">
        <v>5389</v>
      </c>
      <c r="I487" s="55" t="s">
        <v>5391</v>
      </c>
      <c r="J487" s="55" t="s">
        <v>5389</v>
      </c>
      <c r="K487" s="55" t="s">
        <v>5391</v>
      </c>
      <c r="L487" s="91"/>
      <c r="M487" s="91"/>
      <c r="N487" s="91"/>
      <c r="O487" s="91"/>
    </row>
    <row r="488" spans="2:27">
      <c r="D488" s="45" t="s">
        <v>5390</v>
      </c>
      <c r="E488" s="45" t="s">
        <v>5392</v>
      </c>
      <c r="F488" s="45" t="s">
        <v>5394</v>
      </c>
      <c r="G488" s="45" t="s">
        <v>4027</v>
      </c>
      <c r="H488" s="45" t="s">
        <v>4030</v>
      </c>
      <c r="I488" s="45" t="s">
        <v>4031</v>
      </c>
      <c r="J488" s="45" t="s">
        <v>4032</v>
      </c>
      <c r="K488" s="45" t="s">
        <v>4033</v>
      </c>
      <c r="L488" s="45" t="s">
        <v>4034</v>
      </c>
      <c r="M488" s="45" t="s">
        <v>4035</v>
      </c>
      <c r="N488" s="45" t="s">
        <v>4036</v>
      </c>
      <c r="O488" s="45" t="s">
        <v>4037</v>
      </c>
      <c r="Z488" s="13" t="str">
        <f>Show!$B$157&amp;"S.27.01.04.20 Rows {"&amp;COLUMN($C$1)&amp;"}"&amp;"@ForceFilingCode:true"</f>
        <v>!S.27.01.04.20 Rows {3}@ForceFilingCode:true</v>
      </c>
      <c r="AA488" s="13" t="str">
        <f>Show!$B$157&amp;"S.27.01.04.20 Columns {"&amp;COLUMN($D$1)&amp;"}"</f>
        <v>!S.27.01.04.20 Columns {4}</v>
      </c>
    </row>
    <row r="489" spans="2:27">
      <c r="B489" s="43" t="s">
        <v>2880</v>
      </c>
      <c r="C489" s="44" t="s">
        <v>2878</v>
      </c>
      <c r="D489" s="58"/>
      <c r="E489" s="67"/>
      <c r="F489" s="67"/>
      <c r="G489" s="67"/>
      <c r="H489" s="67"/>
      <c r="I489" s="67"/>
      <c r="J489" s="67"/>
      <c r="K489" s="67"/>
      <c r="L489" s="67"/>
      <c r="M489" s="67"/>
      <c r="N489" s="67"/>
      <c r="O489" s="59"/>
    </row>
    <row r="490" spans="2:27">
      <c r="B490" s="47" t="s">
        <v>5397</v>
      </c>
      <c r="C490" s="44" t="s">
        <v>2878</v>
      </c>
      <c r="D490" s="56"/>
      <c r="E490" s="66"/>
      <c r="F490" s="66"/>
      <c r="G490" s="66"/>
      <c r="H490" s="66"/>
      <c r="I490" s="66"/>
      <c r="J490" s="66"/>
      <c r="K490" s="66"/>
      <c r="L490" s="66"/>
      <c r="M490" s="66"/>
      <c r="N490" s="66"/>
      <c r="O490" s="57"/>
    </row>
    <row r="491" spans="2:27">
      <c r="B491" s="49" t="s">
        <v>5124</v>
      </c>
      <c r="C491" s="41" t="s">
        <v>5398</v>
      </c>
      <c r="D491" s="50"/>
      <c r="E491" s="60"/>
      <c r="F491" s="50"/>
      <c r="G491" s="60"/>
      <c r="H491" s="50"/>
      <c r="I491" s="60"/>
      <c r="J491" s="50"/>
      <c r="K491" s="60"/>
      <c r="L491" s="60"/>
      <c r="M491" s="60"/>
      <c r="N491" s="60"/>
      <c r="O491" s="60"/>
    </row>
    <row r="492" spans="2:27">
      <c r="B492" s="49" t="s">
        <v>5125</v>
      </c>
      <c r="C492" s="41" t="s">
        <v>5399</v>
      </c>
      <c r="D492" s="50"/>
      <c r="E492" s="60"/>
      <c r="F492" s="50"/>
      <c r="G492" s="60"/>
      <c r="H492" s="50"/>
      <c r="I492" s="60"/>
      <c r="J492" s="50"/>
      <c r="K492" s="60"/>
      <c r="L492" s="60"/>
      <c r="M492" s="60"/>
      <c r="N492" s="60"/>
      <c r="O492" s="60"/>
    </row>
    <row r="493" spans="2:27">
      <c r="B493" s="49" t="s">
        <v>5174</v>
      </c>
      <c r="C493" s="41" t="s">
        <v>5400</v>
      </c>
      <c r="D493" s="50"/>
      <c r="E493" s="60"/>
      <c r="F493" s="50"/>
      <c r="G493" s="60"/>
      <c r="H493" s="50"/>
      <c r="I493" s="60"/>
      <c r="J493" s="50"/>
      <c r="K493" s="60"/>
      <c r="L493" s="60"/>
      <c r="M493" s="60"/>
      <c r="N493" s="60"/>
      <c r="O493" s="60"/>
    </row>
    <row r="494" spans="2:27">
      <c r="B494" s="49" t="s">
        <v>5175</v>
      </c>
      <c r="C494" s="41" t="s">
        <v>5401</v>
      </c>
      <c r="D494" s="50"/>
      <c r="E494" s="60"/>
      <c r="F494" s="50"/>
      <c r="G494" s="60"/>
      <c r="H494" s="50"/>
      <c r="I494" s="60"/>
      <c r="J494" s="50"/>
      <c r="K494" s="60"/>
      <c r="L494" s="60"/>
      <c r="M494" s="60"/>
      <c r="N494" s="60"/>
      <c r="O494" s="60"/>
    </row>
    <row r="495" spans="2:27">
      <c r="B495" s="49" t="s">
        <v>5176</v>
      </c>
      <c r="C495" s="41" t="s">
        <v>5402</v>
      </c>
      <c r="D495" s="50"/>
      <c r="E495" s="60"/>
      <c r="F495" s="50"/>
      <c r="G495" s="60"/>
      <c r="H495" s="50"/>
      <c r="I495" s="60"/>
      <c r="J495" s="50"/>
      <c r="K495" s="60"/>
      <c r="L495" s="60"/>
      <c r="M495" s="60"/>
      <c r="N495" s="60"/>
      <c r="O495" s="60"/>
    </row>
    <row r="496" spans="2:27">
      <c r="B496" s="49" t="s">
        <v>5126</v>
      </c>
      <c r="C496" s="41" t="s">
        <v>5403</v>
      </c>
      <c r="D496" s="50"/>
      <c r="E496" s="60"/>
      <c r="F496" s="50"/>
      <c r="G496" s="60"/>
      <c r="H496" s="50"/>
      <c r="I496" s="60"/>
      <c r="J496" s="50"/>
      <c r="K496" s="60"/>
      <c r="L496" s="60"/>
      <c r="M496" s="60"/>
      <c r="N496" s="60"/>
      <c r="O496" s="60"/>
    </row>
    <row r="497" spans="2:15">
      <c r="B497" s="49" t="s">
        <v>5128</v>
      </c>
      <c r="C497" s="41" t="s">
        <v>5404</v>
      </c>
      <c r="D497" s="50"/>
      <c r="E497" s="60"/>
      <c r="F497" s="50"/>
      <c r="G497" s="60"/>
      <c r="H497" s="50"/>
      <c r="I497" s="60"/>
      <c r="J497" s="50"/>
      <c r="K497" s="60"/>
      <c r="L497" s="60"/>
      <c r="M497" s="60"/>
      <c r="N497" s="60"/>
      <c r="O497" s="60"/>
    </row>
    <row r="498" spans="2:15">
      <c r="B498" s="49" t="s">
        <v>5405</v>
      </c>
      <c r="C498" s="41" t="s">
        <v>5406</v>
      </c>
      <c r="D498" s="50"/>
      <c r="E498" s="60"/>
      <c r="F498" s="50"/>
      <c r="G498" s="60"/>
      <c r="H498" s="50"/>
      <c r="I498" s="60"/>
      <c r="J498" s="50"/>
      <c r="K498" s="60"/>
      <c r="L498" s="60"/>
      <c r="M498" s="60"/>
      <c r="N498" s="60"/>
      <c r="O498" s="60"/>
    </row>
    <row r="499" spans="2:15">
      <c r="B499" s="49" t="s">
        <v>5140</v>
      </c>
      <c r="C499" s="41" t="s">
        <v>5407</v>
      </c>
      <c r="D499" s="50"/>
      <c r="E499" s="60"/>
      <c r="F499" s="50"/>
      <c r="G499" s="60"/>
      <c r="H499" s="50"/>
      <c r="I499" s="60"/>
      <c r="J499" s="50"/>
      <c r="K499" s="60"/>
      <c r="L499" s="60"/>
      <c r="M499" s="60"/>
      <c r="N499" s="60"/>
      <c r="O499" s="60"/>
    </row>
    <row r="500" spans="2:15">
      <c r="B500" s="49" t="s">
        <v>5408</v>
      </c>
      <c r="C500" s="41" t="s">
        <v>5409</v>
      </c>
      <c r="D500" s="50"/>
      <c r="E500" s="60"/>
      <c r="F500" s="50"/>
      <c r="G500" s="60"/>
      <c r="H500" s="50"/>
      <c r="I500" s="60"/>
      <c r="J500" s="50"/>
      <c r="K500" s="60"/>
      <c r="L500" s="60"/>
      <c r="M500" s="60"/>
      <c r="N500" s="60"/>
      <c r="O500" s="60"/>
    </row>
    <row r="501" spans="2:15">
      <c r="B501" s="49" t="s">
        <v>5177</v>
      </c>
      <c r="C501" s="41" t="s">
        <v>5410</v>
      </c>
      <c r="D501" s="50"/>
      <c r="E501" s="60"/>
      <c r="F501" s="50"/>
      <c r="G501" s="60"/>
      <c r="H501" s="50"/>
      <c r="I501" s="60"/>
      <c r="J501" s="50"/>
      <c r="K501" s="60"/>
      <c r="L501" s="60"/>
      <c r="M501" s="60"/>
      <c r="N501" s="60"/>
      <c r="O501" s="60"/>
    </row>
    <row r="502" spans="2:15">
      <c r="B502" s="49" t="s">
        <v>5132</v>
      </c>
      <c r="C502" s="41" t="s">
        <v>5411</v>
      </c>
      <c r="D502" s="50"/>
      <c r="E502" s="60"/>
      <c r="F502" s="50"/>
      <c r="G502" s="60"/>
      <c r="H502" s="50"/>
      <c r="I502" s="60"/>
      <c r="J502" s="50"/>
      <c r="K502" s="60"/>
      <c r="L502" s="60"/>
      <c r="M502" s="60"/>
      <c r="N502" s="60"/>
      <c r="O502" s="60"/>
    </row>
    <row r="503" spans="2:15">
      <c r="B503" s="49" t="s">
        <v>5133</v>
      </c>
      <c r="C503" s="41" t="s">
        <v>5412</v>
      </c>
      <c r="D503" s="50"/>
      <c r="E503" s="60"/>
      <c r="F503" s="50"/>
      <c r="G503" s="60"/>
      <c r="H503" s="50"/>
      <c r="I503" s="60"/>
      <c r="J503" s="50"/>
      <c r="K503" s="60"/>
      <c r="L503" s="60"/>
      <c r="M503" s="60"/>
      <c r="N503" s="60"/>
      <c r="O503" s="60"/>
    </row>
    <row r="504" spans="2:15">
      <c r="B504" s="49" t="s">
        <v>5134</v>
      </c>
      <c r="C504" s="41" t="s">
        <v>5413</v>
      </c>
      <c r="D504" s="50"/>
      <c r="E504" s="60"/>
      <c r="F504" s="50"/>
      <c r="G504" s="60"/>
      <c r="H504" s="50"/>
      <c r="I504" s="60"/>
      <c r="J504" s="50"/>
      <c r="K504" s="60"/>
      <c r="L504" s="60"/>
      <c r="M504" s="60"/>
      <c r="N504" s="60"/>
      <c r="O504" s="60"/>
    </row>
    <row r="505" spans="2:15">
      <c r="B505" s="49" t="s">
        <v>5135</v>
      </c>
      <c r="C505" s="41" t="s">
        <v>5414</v>
      </c>
      <c r="D505" s="50"/>
      <c r="E505" s="60"/>
      <c r="F505" s="50"/>
      <c r="G505" s="60"/>
      <c r="H505" s="50"/>
      <c r="I505" s="60"/>
      <c r="J505" s="50"/>
      <c r="K505" s="60"/>
      <c r="L505" s="60"/>
      <c r="M505" s="60"/>
      <c r="N505" s="60"/>
      <c r="O505" s="60"/>
    </row>
    <row r="506" spans="2:15">
      <c r="B506" s="49" t="s">
        <v>5178</v>
      </c>
      <c r="C506" s="41" t="s">
        <v>5415</v>
      </c>
      <c r="D506" s="50"/>
      <c r="E506" s="60"/>
      <c r="F506" s="50"/>
      <c r="G506" s="60"/>
      <c r="H506" s="50"/>
      <c r="I506" s="60"/>
      <c r="J506" s="50"/>
      <c r="K506" s="60"/>
      <c r="L506" s="60"/>
      <c r="M506" s="60"/>
      <c r="N506" s="60"/>
      <c r="O506" s="60"/>
    </row>
    <row r="507" spans="2:15">
      <c r="B507" s="49" t="s">
        <v>5416</v>
      </c>
      <c r="C507" s="41" t="s">
        <v>5417</v>
      </c>
      <c r="D507" s="50"/>
      <c r="E507" s="60"/>
      <c r="F507" s="50"/>
      <c r="G507" s="60"/>
      <c r="H507" s="50"/>
      <c r="I507" s="60"/>
      <c r="J507" s="50"/>
      <c r="K507" s="60"/>
      <c r="L507" s="60"/>
      <c r="M507" s="60"/>
      <c r="N507" s="60"/>
      <c r="O507" s="60"/>
    </row>
    <row r="508" spans="2:15">
      <c r="B508" s="49" t="s">
        <v>5418</v>
      </c>
      <c r="C508" s="41" t="s">
        <v>5419</v>
      </c>
      <c r="D508" s="50"/>
      <c r="E508" s="60"/>
      <c r="F508" s="50"/>
      <c r="G508" s="60"/>
      <c r="H508" s="50"/>
      <c r="I508" s="60"/>
      <c r="J508" s="50"/>
      <c r="K508" s="60"/>
      <c r="L508" s="60"/>
      <c r="M508" s="60"/>
      <c r="N508" s="60"/>
      <c r="O508" s="60"/>
    </row>
    <row r="509" spans="2:15">
      <c r="B509" s="49" t="s">
        <v>5136</v>
      </c>
      <c r="C509" s="41" t="s">
        <v>5420</v>
      </c>
      <c r="D509" s="50"/>
      <c r="E509" s="60"/>
      <c r="F509" s="50"/>
      <c r="G509" s="60"/>
      <c r="H509" s="50"/>
      <c r="I509" s="60"/>
      <c r="J509" s="50"/>
      <c r="K509" s="60"/>
      <c r="L509" s="60"/>
      <c r="M509" s="60"/>
      <c r="N509" s="60"/>
      <c r="O509" s="60"/>
    </row>
    <row r="510" spans="2:15">
      <c r="B510" s="49" t="s">
        <v>5179</v>
      </c>
      <c r="C510" s="41" t="s">
        <v>5421</v>
      </c>
      <c r="D510" s="50"/>
      <c r="E510" s="60"/>
      <c r="F510" s="50"/>
      <c r="G510" s="60"/>
      <c r="H510" s="50"/>
      <c r="I510" s="60"/>
      <c r="J510" s="50"/>
      <c r="K510" s="60"/>
      <c r="L510" s="60"/>
      <c r="M510" s="60"/>
      <c r="N510" s="60"/>
      <c r="O510" s="60"/>
    </row>
    <row r="511" spans="2:15">
      <c r="B511" s="49" t="s">
        <v>5137</v>
      </c>
      <c r="C511" s="41" t="s">
        <v>5422</v>
      </c>
      <c r="D511" s="50"/>
      <c r="E511" s="60"/>
      <c r="F511" s="50"/>
      <c r="G511" s="60"/>
      <c r="H511" s="50"/>
      <c r="I511" s="60"/>
      <c r="J511" s="50"/>
      <c r="K511" s="60"/>
      <c r="L511" s="60"/>
      <c r="M511" s="60"/>
      <c r="N511" s="60"/>
      <c r="O511" s="60"/>
    </row>
    <row r="512" spans="2:15">
      <c r="B512" s="49" t="s">
        <v>5138</v>
      </c>
      <c r="C512" s="41" t="s">
        <v>5423</v>
      </c>
      <c r="D512" s="50"/>
      <c r="E512" s="60"/>
      <c r="F512" s="50"/>
      <c r="G512" s="60"/>
      <c r="H512" s="50"/>
      <c r="I512" s="60"/>
      <c r="J512" s="50"/>
      <c r="K512" s="60"/>
      <c r="L512" s="60"/>
      <c r="M512" s="60"/>
      <c r="N512" s="60"/>
      <c r="O512" s="60"/>
    </row>
    <row r="513" spans="2:27">
      <c r="B513" s="49" t="s">
        <v>5139</v>
      </c>
      <c r="C513" s="41" t="s">
        <v>5424</v>
      </c>
      <c r="D513" s="50"/>
      <c r="E513" s="60"/>
      <c r="F513" s="50"/>
      <c r="G513" s="60"/>
      <c r="H513" s="50"/>
      <c r="I513" s="60"/>
      <c r="J513" s="50"/>
      <c r="K513" s="60"/>
      <c r="L513" s="60"/>
      <c r="M513" s="60"/>
      <c r="N513" s="60"/>
      <c r="O513" s="60"/>
    </row>
    <row r="514" spans="2:27">
      <c r="B514" s="49" t="s">
        <v>5180</v>
      </c>
      <c r="C514" s="41" t="s">
        <v>5425</v>
      </c>
      <c r="D514" s="50"/>
      <c r="E514" s="60"/>
      <c r="F514" s="50"/>
      <c r="G514" s="60"/>
      <c r="H514" s="50"/>
      <c r="I514" s="60"/>
      <c r="J514" s="50"/>
      <c r="K514" s="60"/>
      <c r="L514" s="60"/>
      <c r="M514" s="60"/>
      <c r="N514" s="60"/>
      <c r="O514" s="60"/>
    </row>
    <row r="515" spans="2:27">
      <c r="B515" s="49" t="s">
        <v>5181</v>
      </c>
      <c r="C515" s="41" t="s">
        <v>5426</v>
      </c>
      <c r="D515" s="50"/>
      <c r="E515" s="60"/>
      <c r="F515" s="50"/>
      <c r="G515" s="60"/>
      <c r="H515" s="50"/>
      <c r="I515" s="60"/>
      <c r="J515" s="50"/>
      <c r="K515" s="60"/>
      <c r="L515" s="60"/>
      <c r="M515" s="60"/>
      <c r="N515" s="60"/>
      <c r="O515" s="60"/>
    </row>
    <row r="516" spans="2:27">
      <c r="B516" s="49" t="s">
        <v>5182</v>
      </c>
      <c r="C516" s="41" t="s">
        <v>5427</v>
      </c>
      <c r="D516" s="50"/>
      <c r="E516" s="60"/>
      <c r="F516" s="50"/>
      <c r="G516" s="60"/>
      <c r="H516" s="50"/>
      <c r="I516" s="60"/>
      <c r="J516" s="50"/>
      <c r="K516" s="60"/>
      <c r="L516" s="60"/>
      <c r="M516" s="60"/>
      <c r="N516" s="60"/>
      <c r="O516" s="60"/>
    </row>
    <row r="517" spans="2:27">
      <c r="B517" s="49" t="s">
        <v>5129</v>
      </c>
      <c r="C517" s="41" t="s">
        <v>5428</v>
      </c>
      <c r="D517" s="50"/>
      <c r="E517" s="60"/>
      <c r="F517" s="50"/>
      <c r="G517" s="60"/>
      <c r="H517" s="50"/>
      <c r="I517" s="60"/>
      <c r="J517" s="50"/>
      <c r="K517" s="60"/>
      <c r="L517" s="60"/>
      <c r="M517" s="60"/>
      <c r="N517" s="60"/>
      <c r="O517" s="60"/>
    </row>
    <row r="518" spans="2:27">
      <c r="B518" s="49" t="s">
        <v>5142</v>
      </c>
      <c r="C518" s="41" t="s">
        <v>5429</v>
      </c>
      <c r="D518" s="50"/>
      <c r="E518" s="60"/>
      <c r="F518" s="50"/>
      <c r="G518" s="60"/>
      <c r="H518" s="50"/>
      <c r="I518" s="60"/>
      <c r="J518" s="50"/>
      <c r="K518" s="60"/>
      <c r="L518" s="60"/>
      <c r="M518" s="60"/>
      <c r="N518" s="60"/>
      <c r="O518" s="60"/>
    </row>
    <row r="519" spans="2:27">
      <c r="B519" s="49" t="s">
        <v>5143</v>
      </c>
      <c r="C519" s="41" t="s">
        <v>5430</v>
      </c>
      <c r="D519" s="50"/>
      <c r="E519" s="60"/>
      <c r="F519" s="50"/>
      <c r="G519" s="60"/>
      <c r="H519" s="50"/>
      <c r="I519" s="60"/>
      <c r="J519" s="50"/>
      <c r="K519" s="60"/>
      <c r="L519" s="60"/>
      <c r="M519" s="60"/>
      <c r="N519" s="60"/>
      <c r="O519" s="60"/>
    </row>
    <row r="520" spans="2:27">
      <c r="B520" s="49" t="s">
        <v>5431</v>
      </c>
      <c r="C520" s="41" t="s">
        <v>5432</v>
      </c>
      <c r="D520" s="50"/>
      <c r="E520" s="60"/>
      <c r="F520" s="50"/>
      <c r="G520" s="60"/>
      <c r="H520" s="50"/>
      <c r="I520" s="60"/>
      <c r="J520" s="50"/>
      <c r="K520" s="60"/>
      <c r="L520" s="60"/>
      <c r="M520" s="60"/>
      <c r="N520" s="60"/>
      <c r="O520" s="60"/>
    </row>
    <row r="521" spans="2:27">
      <c r="B521" s="49" t="s">
        <v>5144</v>
      </c>
      <c r="C521" s="41" t="s">
        <v>5433</v>
      </c>
      <c r="D521" s="74"/>
      <c r="E521" s="63"/>
      <c r="F521" s="74"/>
      <c r="G521" s="63"/>
      <c r="H521" s="74"/>
      <c r="I521" s="63"/>
      <c r="J521" s="74"/>
      <c r="K521" s="63"/>
      <c r="L521" s="60"/>
      <c r="M521" s="60"/>
      <c r="N521" s="60"/>
      <c r="O521" s="60"/>
    </row>
    <row r="522" spans="2:27">
      <c r="B522" s="49" t="s">
        <v>5434</v>
      </c>
      <c r="C522" s="44" t="s">
        <v>5435</v>
      </c>
      <c r="D522" s="58"/>
      <c r="E522" s="58"/>
      <c r="F522" s="58"/>
      <c r="G522" s="58"/>
      <c r="H522" s="58"/>
      <c r="I522" s="58"/>
      <c r="J522" s="58"/>
      <c r="K522" s="48"/>
      <c r="L522" s="60"/>
      <c r="M522" s="63"/>
      <c r="N522" s="63"/>
      <c r="O522" s="60"/>
    </row>
    <row r="523" spans="2:27">
      <c r="B523" s="49" t="s">
        <v>5436</v>
      </c>
      <c r="C523" s="44" t="s">
        <v>5437</v>
      </c>
      <c r="D523" s="58"/>
      <c r="E523" s="58"/>
      <c r="F523" s="58"/>
      <c r="G523" s="58"/>
      <c r="H523" s="58"/>
      <c r="I523" s="58"/>
      <c r="J523" s="58"/>
      <c r="K523" s="48"/>
      <c r="L523" s="64"/>
      <c r="M523" s="58"/>
      <c r="N523" s="48"/>
      <c r="O523" s="60"/>
    </row>
    <row r="524" spans="2:27">
      <c r="B524" s="49" t="s">
        <v>5438</v>
      </c>
      <c r="C524" s="44" t="s">
        <v>5439</v>
      </c>
      <c r="D524" s="56"/>
      <c r="E524" s="56"/>
      <c r="F524" s="56"/>
      <c r="G524" s="56"/>
      <c r="H524" s="56"/>
      <c r="I524" s="56"/>
      <c r="J524" s="56"/>
      <c r="K524" s="46"/>
      <c r="L524" s="64"/>
      <c r="M524" s="56"/>
      <c r="N524" s="46"/>
      <c r="O524" s="60"/>
    </row>
    <row r="526" spans="2:27">
      <c r="Z526" s="13" t="str">
        <f>Show!$B$157&amp;Show!$B$157&amp;"S.27.01.04.20 Rows {"&amp;COLUMN($C$1)&amp;"}"</f>
        <v>!!S.27.01.04.20 Rows {3}</v>
      </c>
      <c r="AA526" s="13" t="str">
        <f>Show!$B$157&amp;Show!$B$157&amp;"S.27.01.04.20 Columns {"&amp;COLUMN($O$1)&amp;"}"</f>
        <v>!!S.27.01.04.20 Columns {15}</v>
      </c>
    </row>
    <row r="528" spans="2:27" ht="18.75">
      <c r="B528" s="88" t="s">
        <v>5566</v>
      </c>
      <c r="C528" s="87"/>
      <c r="D528" s="87"/>
      <c r="E528" s="87"/>
      <c r="F528" s="87"/>
      <c r="G528" s="87"/>
      <c r="H528" s="87"/>
      <c r="I528" s="87"/>
      <c r="J528" s="87"/>
      <c r="K528" s="87"/>
      <c r="L528" s="87"/>
    </row>
    <row r="532" spans="2:27">
      <c r="D532" s="92" t="s">
        <v>2877</v>
      </c>
      <c r="E532" s="93"/>
      <c r="F532" s="93"/>
      <c r="G532" s="93"/>
      <c r="H532" s="93"/>
      <c r="I532" s="93"/>
      <c r="J532" s="93"/>
      <c r="K532" s="93"/>
      <c r="L532" s="94"/>
    </row>
    <row r="533" spans="2:27">
      <c r="D533" s="95"/>
      <c r="E533" s="96"/>
      <c r="F533" s="96"/>
      <c r="G533" s="96"/>
      <c r="H533" s="96"/>
      <c r="I533" s="96"/>
      <c r="J533" s="96"/>
      <c r="K533" s="96"/>
      <c r="L533" s="97"/>
    </row>
    <row r="534" spans="2:27">
      <c r="D534" s="89" t="s">
        <v>5441</v>
      </c>
      <c r="E534" s="98" t="s">
        <v>5442</v>
      </c>
      <c r="F534" s="100"/>
      <c r="G534" s="100"/>
      <c r="H534" s="99"/>
      <c r="I534" s="89" t="s">
        <v>5119</v>
      </c>
      <c r="J534" s="89" t="s">
        <v>5120</v>
      </c>
      <c r="K534" s="89" t="s">
        <v>5121</v>
      </c>
      <c r="L534" s="89" t="s">
        <v>5122</v>
      </c>
    </row>
    <row r="535" spans="2:27" ht="30">
      <c r="D535" s="91"/>
      <c r="E535" s="55" t="s">
        <v>5388</v>
      </c>
      <c r="F535" s="55" t="s">
        <v>5393</v>
      </c>
      <c r="G535" s="55" t="s">
        <v>5395</v>
      </c>
      <c r="H535" s="55" t="s">
        <v>5396</v>
      </c>
      <c r="I535" s="91"/>
      <c r="J535" s="91"/>
      <c r="K535" s="91"/>
      <c r="L535" s="91"/>
    </row>
    <row r="536" spans="2:27">
      <c r="D536" s="45" t="s">
        <v>4038</v>
      </c>
      <c r="E536" s="45" t="s">
        <v>4039</v>
      </c>
      <c r="F536" s="45" t="s">
        <v>4040</v>
      </c>
      <c r="G536" s="45" t="s">
        <v>4042</v>
      </c>
      <c r="H536" s="45" t="s">
        <v>4044</v>
      </c>
      <c r="I536" s="45" t="s">
        <v>4045</v>
      </c>
      <c r="J536" s="45" t="s">
        <v>5443</v>
      </c>
      <c r="K536" s="45" t="s">
        <v>5444</v>
      </c>
      <c r="L536" s="45" t="s">
        <v>4047</v>
      </c>
      <c r="Z536" s="13" t="str">
        <f>Show!$B$157&amp;"S.27.01.04.21 Rows {"&amp;COLUMN($C$1)&amp;"}"&amp;"@ForceFilingCode:true"</f>
        <v>!S.27.01.04.21 Rows {3}@ForceFilingCode:true</v>
      </c>
      <c r="AA536" s="13" t="str">
        <f>Show!$B$157&amp;"S.27.01.04.21 Columns {"&amp;COLUMN($D$1)&amp;"}"</f>
        <v>!S.27.01.04.21 Columns {4}</v>
      </c>
    </row>
    <row r="537" spans="2:27">
      <c r="B537" s="43" t="s">
        <v>2880</v>
      </c>
      <c r="C537" s="44" t="s">
        <v>2878</v>
      </c>
      <c r="D537" s="58"/>
      <c r="E537" s="67"/>
      <c r="F537" s="67"/>
      <c r="G537" s="67"/>
      <c r="H537" s="67"/>
      <c r="I537" s="67"/>
      <c r="J537" s="67"/>
      <c r="K537" s="67"/>
      <c r="L537" s="59"/>
    </row>
    <row r="538" spans="2:27">
      <c r="B538" s="47" t="s">
        <v>5445</v>
      </c>
      <c r="C538" s="44" t="s">
        <v>2878</v>
      </c>
      <c r="D538" s="56"/>
      <c r="E538" s="66"/>
      <c r="F538" s="66"/>
      <c r="G538" s="66"/>
      <c r="H538" s="66"/>
      <c r="I538" s="66"/>
      <c r="J538" s="66"/>
      <c r="K538" s="66"/>
      <c r="L538" s="57"/>
    </row>
    <row r="539" spans="2:27">
      <c r="B539" s="49" t="s">
        <v>5124</v>
      </c>
      <c r="C539" s="41" t="s">
        <v>5446</v>
      </c>
      <c r="D539" s="50"/>
      <c r="E539" s="60"/>
      <c r="F539" s="60"/>
      <c r="G539" s="60"/>
      <c r="H539" s="60"/>
      <c r="I539" s="60"/>
      <c r="J539" s="60"/>
      <c r="K539" s="60"/>
      <c r="L539" s="60"/>
    </row>
    <row r="540" spans="2:27">
      <c r="B540" s="49" t="s">
        <v>5125</v>
      </c>
      <c r="C540" s="41" t="s">
        <v>5447</v>
      </c>
      <c r="D540" s="50"/>
      <c r="E540" s="60"/>
      <c r="F540" s="60"/>
      <c r="G540" s="60"/>
      <c r="H540" s="60"/>
      <c r="I540" s="60"/>
      <c r="J540" s="60"/>
      <c r="K540" s="60"/>
      <c r="L540" s="60"/>
    </row>
    <row r="541" spans="2:27">
      <c r="B541" s="49" t="s">
        <v>5174</v>
      </c>
      <c r="C541" s="41" t="s">
        <v>5448</v>
      </c>
      <c r="D541" s="50"/>
      <c r="E541" s="60"/>
      <c r="F541" s="60"/>
      <c r="G541" s="60"/>
      <c r="H541" s="60"/>
      <c r="I541" s="60"/>
      <c r="J541" s="60"/>
      <c r="K541" s="60"/>
      <c r="L541" s="60"/>
    </row>
    <row r="542" spans="2:27">
      <c r="B542" s="49" t="s">
        <v>5175</v>
      </c>
      <c r="C542" s="41" t="s">
        <v>5449</v>
      </c>
      <c r="D542" s="50"/>
      <c r="E542" s="60"/>
      <c r="F542" s="60"/>
      <c r="G542" s="60"/>
      <c r="H542" s="60"/>
      <c r="I542" s="60"/>
      <c r="J542" s="60"/>
      <c r="K542" s="60"/>
      <c r="L542" s="60"/>
    </row>
    <row r="543" spans="2:27">
      <c r="B543" s="49" t="s">
        <v>5176</v>
      </c>
      <c r="C543" s="41" t="s">
        <v>5450</v>
      </c>
      <c r="D543" s="50"/>
      <c r="E543" s="60"/>
      <c r="F543" s="60"/>
      <c r="G543" s="60"/>
      <c r="H543" s="60"/>
      <c r="I543" s="60"/>
      <c r="J543" s="60"/>
      <c r="K543" s="60"/>
      <c r="L543" s="60"/>
    </row>
    <row r="544" spans="2:27">
      <c r="B544" s="49" t="s">
        <v>5126</v>
      </c>
      <c r="C544" s="41" t="s">
        <v>5451</v>
      </c>
      <c r="D544" s="50"/>
      <c r="E544" s="60"/>
      <c r="F544" s="60"/>
      <c r="G544" s="60"/>
      <c r="H544" s="60"/>
      <c r="I544" s="60"/>
      <c r="J544" s="60"/>
      <c r="K544" s="60"/>
      <c r="L544" s="60"/>
    </row>
    <row r="545" spans="2:12">
      <c r="B545" s="49" t="s">
        <v>5128</v>
      </c>
      <c r="C545" s="41" t="s">
        <v>5452</v>
      </c>
      <c r="D545" s="50"/>
      <c r="E545" s="60"/>
      <c r="F545" s="60"/>
      <c r="G545" s="60"/>
      <c r="H545" s="60"/>
      <c r="I545" s="60"/>
      <c r="J545" s="60"/>
      <c r="K545" s="60"/>
      <c r="L545" s="60"/>
    </row>
    <row r="546" spans="2:12">
      <c r="B546" s="49" t="s">
        <v>5405</v>
      </c>
      <c r="C546" s="41" t="s">
        <v>5453</v>
      </c>
      <c r="D546" s="50"/>
      <c r="E546" s="60"/>
      <c r="F546" s="60"/>
      <c r="G546" s="60"/>
      <c r="H546" s="60"/>
      <c r="I546" s="60"/>
      <c r="J546" s="60"/>
      <c r="K546" s="60"/>
      <c r="L546" s="60"/>
    </row>
    <row r="547" spans="2:12">
      <c r="B547" s="49" t="s">
        <v>5140</v>
      </c>
      <c r="C547" s="41" t="s">
        <v>5454</v>
      </c>
      <c r="D547" s="50"/>
      <c r="E547" s="60"/>
      <c r="F547" s="60"/>
      <c r="G547" s="60"/>
      <c r="H547" s="60"/>
      <c r="I547" s="60"/>
      <c r="J547" s="60"/>
      <c r="K547" s="60"/>
      <c r="L547" s="60"/>
    </row>
    <row r="548" spans="2:12">
      <c r="B548" s="49" t="s">
        <v>5455</v>
      </c>
      <c r="C548" s="41" t="s">
        <v>5456</v>
      </c>
      <c r="D548" s="50"/>
      <c r="E548" s="60"/>
      <c r="F548" s="60"/>
      <c r="G548" s="60"/>
      <c r="H548" s="60"/>
      <c r="I548" s="60"/>
      <c r="J548" s="60"/>
      <c r="K548" s="60"/>
      <c r="L548" s="60"/>
    </row>
    <row r="549" spans="2:12">
      <c r="B549" s="49" t="s">
        <v>5177</v>
      </c>
      <c r="C549" s="41" t="s">
        <v>5457</v>
      </c>
      <c r="D549" s="50"/>
      <c r="E549" s="60"/>
      <c r="F549" s="60"/>
      <c r="G549" s="60"/>
      <c r="H549" s="60"/>
      <c r="I549" s="60"/>
      <c r="J549" s="60"/>
      <c r="K549" s="60"/>
      <c r="L549" s="60"/>
    </row>
    <row r="550" spans="2:12">
      <c r="B550" s="49" t="s">
        <v>5132</v>
      </c>
      <c r="C550" s="41" t="s">
        <v>5458</v>
      </c>
      <c r="D550" s="50"/>
      <c r="E550" s="60"/>
      <c r="F550" s="60"/>
      <c r="G550" s="60"/>
      <c r="H550" s="60"/>
      <c r="I550" s="60"/>
      <c r="J550" s="60"/>
      <c r="K550" s="60"/>
      <c r="L550" s="60"/>
    </row>
    <row r="551" spans="2:12">
      <c r="B551" s="49" t="s">
        <v>5133</v>
      </c>
      <c r="C551" s="41" t="s">
        <v>5459</v>
      </c>
      <c r="D551" s="50"/>
      <c r="E551" s="60"/>
      <c r="F551" s="60"/>
      <c r="G551" s="60"/>
      <c r="H551" s="60"/>
      <c r="I551" s="60"/>
      <c r="J551" s="60"/>
      <c r="K551" s="60"/>
      <c r="L551" s="60"/>
    </row>
    <row r="552" spans="2:12">
      <c r="B552" s="49" t="s">
        <v>5134</v>
      </c>
      <c r="C552" s="41" t="s">
        <v>5460</v>
      </c>
      <c r="D552" s="50"/>
      <c r="E552" s="60"/>
      <c r="F552" s="60"/>
      <c r="G552" s="60"/>
      <c r="H552" s="60"/>
      <c r="I552" s="60"/>
      <c r="J552" s="60"/>
      <c r="K552" s="60"/>
      <c r="L552" s="60"/>
    </row>
    <row r="553" spans="2:12">
      <c r="B553" s="49" t="s">
        <v>5135</v>
      </c>
      <c r="C553" s="41" t="s">
        <v>5461</v>
      </c>
      <c r="D553" s="50"/>
      <c r="E553" s="60"/>
      <c r="F553" s="60"/>
      <c r="G553" s="60"/>
      <c r="H553" s="60"/>
      <c r="I553" s="60"/>
      <c r="J553" s="60"/>
      <c r="K553" s="60"/>
      <c r="L553" s="60"/>
    </row>
    <row r="554" spans="2:12">
      <c r="B554" s="49" t="s">
        <v>5462</v>
      </c>
      <c r="C554" s="41" t="s">
        <v>5463</v>
      </c>
      <c r="D554" s="50"/>
      <c r="E554" s="60"/>
      <c r="F554" s="60"/>
      <c r="G554" s="60"/>
      <c r="H554" s="60"/>
      <c r="I554" s="60"/>
      <c r="J554" s="60"/>
      <c r="K554" s="60"/>
      <c r="L554" s="60"/>
    </row>
    <row r="555" spans="2:12">
      <c r="B555" s="49" t="s">
        <v>5416</v>
      </c>
      <c r="C555" s="41" t="s">
        <v>5464</v>
      </c>
      <c r="D555" s="50"/>
      <c r="E555" s="60"/>
      <c r="F555" s="60"/>
      <c r="G555" s="60"/>
      <c r="H555" s="60"/>
      <c r="I555" s="60"/>
      <c r="J555" s="60"/>
      <c r="K555" s="60"/>
      <c r="L555" s="60"/>
    </row>
    <row r="556" spans="2:12">
      <c r="B556" s="49" t="s">
        <v>5418</v>
      </c>
      <c r="C556" s="41" t="s">
        <v>5465</v>
      </c>
      <c r="D556" s="50"/>
      <c r="E556" s="60"/>
      <c r="F556" s="60"/>
      <c r="G556" s="60"/>
      <c r="H556" s="60"/>
      <c r="I556" s="60"/>
      <c r="J556" s="60"/>
      <c r="K556" s="60"/>
      <c r="L556" s="60"/>
    </row>
    <row r="557" spans="2:12">
      <c r="B557" s="49" t="s">
        <v>5136</v>
      </c>
      <c r="C557" s="41" t="s">
        <v>5466</v>
      </c>
      <c r="D557" s="50"/>
      <c r="E557" s="60"/>
      <c r="F557" s="60"/>
      <c r="G557" s="60"/>
      <c r="H557" s="60"/>
      <c r="I557" s="60"/>
      <c r="J557" s="60"/>
      <c r="K557" s="60"/>
      <c r="L557" s="60"/>
    </row>
    <row r="558" spans="2:12">
      <c r="B558" s="49" t="s">
        <v>5179</v>
      </c>
      <c r="C558" s="41" t="s">
        <v>5467</v>
      </c>
      <c r="D558" s="50"/>
      <c r="E558" s="60"/>
      <c r="F558" s="60"/>
      <c r="G558" s="60"/>
      <c r="H558" s="60"/>
      <c r="I558" s="60"/>
      <c r="J558" s="60"/>
      <c r="K558" s="60"/>
      <c r="L558" s="60"/>
    </row>
    <row r="559" spans="2:12">
      <c r="B559" s="49" t="s">
        <v>5137</v>
      </c>
      <c r="C559" s="41" t="s">
        <v>5468</v>
      </c>
      <c r="D559" s="50"/>
      <c r="E559" s="60"/>
      <c r="F559" s="60"/>
      <c r="G559" s="60"/>
      <c r="H559" s="60"/>
      <c r="I559" s="60"/>
      <c r="J559" s="60"/>
      <c r="K559" s="60"/>
      <c r="L559" s="60"/>
    </row>
    <row r="560" spans="2:12">
      <c r="B560" s="49" t="s">
        <v>5138</v>
      </c>
      <c r="C560" s="41" t="s">
        <v>5469</v>
      </c>
      <c r="D560" s="50"/>
      <c r="E560" s="60"/>
      <c r="F560" s="60"/>
      <c r="G560" s="60"/>
      <c r="H560" s="60"/>
      <c r="I560" s="60"/>
      <c r="J560" s="60"/>
      <c r="K560" s="60"/>
      <c r="L560" s="60"/>
    </row>
    <row r="561" spans="2:27">
      <c r="B561" s="49" t="s">
        <v>5139</v>
      </c>
      <c r="C561" s="41" t="s">
        <v>5470</v>
      </c>
      <c r="D561" s="50"/>
      <c r="E561" s="60"/>
      <c r="F561" s="60"/>
      <c r="G561" s="60"/>
      <c r="H561" s="60"/>
      <c r="I561" s="60"/>
      <c r="J561" s="60"/>
      <c r="K561" s="60"/>
      <c r="L561" s="60"/>
    </row>
    <row r="562" spans="2:27">
      <c r="B562" s="49" t="s">
        <v>5180</v>
      </c>
      <c r="C562" s="41" t="s">
        <v>5471</v>
      </c>
      <c r="D562" s="50"/>
      <c r="E562" s="60"/>
      <c r="F562" s="60"/>
      <c r="G562" s="60"/>
      <c r="H562" s="60"/>
      <c r="I562" s="60"/>
      <c r="J562" s="60"/>
      <c r="K562" s="60"/>
      <c r="L562" s="60"/>
    </row>
    <row r="563" spans="2:27">
      <c r="B563" s="49" t="s">
        <v>5181</v>
      </c>
      <c r="C563" s="41" t="s">
        <v>5472</v>
      </c>
      <c r="D563" s="50"/>
      <c r="E563" s="60"/>
      <c r="F563" s="60"/>
      <c r="G563" s="60"/>
      <c r="H563" s="60"/>
      <c r="I563" s="60"/>
      <c r="J563" s="60"/>
      <c r="K563" s="60"/>
      <c r="L563" s="60"/>
    </row>
    <row r="564" spans="2:27">
      <c r="B564" s="49" t="s">
        <v>5182</v>
      </c>
      <c r="C564" s="41" t="s">
        <v>5473</v>
      </c>
      <c r="D564" s="50"/>
      <c r="E564" s="60"/>
      <c r="F564" s="60"/>
      <c r="G564" s="60"/>
      <c r="H564" s="60"/>
      <c r="I564" s="60"/>
      <c r="J564" s="60"/>
      <c r="K564" s="60"/>
      <c r="L564" s="60"/>
    </row>
    <row r="565" spans="2:27">
      <c r="B565" s="49" t="s">
        <v>5129</v>
      </c>
      <c r="C565" s="41" t="s">
        <v>5474</v>
      </c>
      <c r="D565" s="50"/>
      <c r="E565" s="60"/>
      <c r="F565" s="60"/>
      <c r="G565" s="60"/>
      <c r="H565" s="60"/>
      <c r="I565" s="60"/>
      <c r="J565" s="60"/>
      <c r="K565" s="60"/>
      <c r="L565" s="60"/>
    </row>
    <row r="566" spans="2:27">
      <c r="B566" s="49" t="s">
        <v>5142</v>
      </c>
      <c r="C566" s="41" t="s">
        <v>5475</v>
      </c>
      <c r="D566" s="50"/>
      <c r="E566" s="60"/>
      <c r="F566" s="60"/>
      <c r="G566" s="60"/>
      <c r="H566" s="60"/>
      <c r="I566" s="60"/>
      <c r="J566" s="60"/>
      <c r="K566" s="60"/>
      <c r="L566" s="60"/>
    </row>
    <row r="567" spans="2:27">
      <c r="B567" s="49" t="s">
        <v>5143</v>
      </c>
      <c r="C567" s="41" t="s">
        <v>5476</v>
      </c>
      <c r="D567" s="50"/>
      <c r="E567" s="60"/>
      <c r="F567" s="60"/>
      <c r="G567" s="60"/>
      <c r="H567" s="60"/>
      <c r="I567" s="60"/>
      <c r="J567" s="60"/>
      <c r="K567" s="60"/>
      <c r="L567" s="60"/>
    </row>
    <row r="568" spans="2:27">
      <c r="B568" s="49" t="s">
        <v>5431</v>
      </c>
      <c r="C568" s="41" t="s">
        <v>5477</v>
      </c>
      <c r="D568" s="50"/>
      <c r="E568" s="60"/>
      <c r="F568" s="60"/>
      <c r="G568" s="60"/>
      <c r="H568" s="60"/>
      <c r="I568" s="60"/>
      <c r="J568" s="60"/>
      <c r="K568" s="60"/>
      <c r="L568" s="60"/>
    </row>
    <row r="569" spans="2:27">
      <c r="B569" s="49" t="s">
        <v>5144</v>
      </c>
      <c r="C569" s="41" t="s">
        <v>5478</v>
      </c>
      <c r="D569" s="50"/>
      <c r="E569" s="60"/>
      <c r="F569" s="60"/>
      <c r="G569" s="60"/>
      <c r="H569" s="60"/>
      <c r="I569" s="60"/>
      <c r="J569" s="60"/>
      <c r="K569" s="60"/>
      <c r="L569" s="60"/>
    </row>
    <row r="571" spans="2:27">
      <c r="Z571" s="13" t="str">
        <f>Show!$B$157&amp;Show!$B$157&amp;"S.27.01.04.21 Rows {"&amp;COLUMN($C$1)&amp;"}"</f>
        <v>!!S.27.01.04.21 Rows {3}</v>
      </c>
      <c r="AA571" s="13" t="str">
        <f>Show!$B$157&amp;Show!$B$157&amp;"S.27.01.04.21 Columns {"&amp;COLUMN($L$1)&amp;"}"</f>
        <v>!!S.27.01.04.21 Columns {12}</v>
      </c>
    </row>
    <row r="573" spans="2:27" ht="18.75">
      <c r="B573" s="88" t="s">
        <v>5567</v>
      </c>
      <c r="C573" s="87"/>
      <c r="D573" s="87"/>
      <c r="E573" s="87"/>
      <c r="F573" s="87"/>
      <c r="G573" s="87"/>
      <c r="H573" s="87"/>
      <c r="I573" s="87"/>
      <c r="J573" s="87"/>
      <c r="K573" s="87"/>
      <c r="L573" s="87"/>
    </row>
    <row r="577" spans="2:27">
      <c r="D577" s="92" t="s">
        <v>2877</v>
      </c>
      <c r="E577" s="93"/>
      <c r="F577" s="93"/>
      <c r="G577" s="93"/>
      <c r="H577" s="93"/>
      <c r="I577" s="93"/>
      <c r="J577" s="93"/>
      <c r="K577" s="93"/>
      <c r="L577" s="93"/>
      <c r="M577" s="93"/>
      <c r="N577" s="93"/>
      <c r="O577" s="93"/>
      <c r="P577" s="94"/>
    </row>
    <row r="578" spans="2:27">
      <c r="D578" s="95"/>
      <c r="E578" s="96"/>
      <c r="F578" s="96"/>
      <c r="G578" s="96"/>
      <c r="H578" s="96"/>
      <c r="I578" s="96"/>
      <c r="J578" s="96"/>
      <c r="K578" s="96"/>
      <c r="L578" s="96"/>
      <c r="M578" s="96"/>
      <c r="N578" s="96"/>
      <c r="O578" s="96"/>
      <c r="P578" s="97"/>
    </row>
    <row r="579" spans="2:27">
      <c r="D579" s="98" t="s">
        <v>4916</v>
      </c>
      <c r="E579" s="99"/>
      <c r="F579" s="98" t="s">
        <v>4913</v>
      </c>
      <c r="G579" s="100"/>
      <c r="H579" s="100"/>
      <c r="I579" s="100"/>
      <c r="J579" s="100"/>
      <c r="K579" s="100"/>
      <c r="L579" s="99"/>
      <c r="M579" s="89" t="s">
        <v>5119</v>
      </c>
      <c r="N579" s="89" t="s">
        <v>5120</v>
      </c>
      <c r="O579" s="89" t="s">
        <v>5121</v>
      </c>
      <c r="P579" s="89" t="s">
        <v>5122</v>
      </c>
    </row>
    <row r="580" spans="2:27" ht="60">
      <c r="D580" s="55" t="s">
        <v>5480</v>
      </c>
      <c r="E580" s="55" t="s">
        <v>5481</v>
      </c>
      <c r="F580" s="55" t="s">
        <v>5482</v>
      </c>
      <c r="G580" s="55" t="s">
        <v>5483</v>
      </c>
      <c r="H580" s="55" t="s">
        <v>5484</v>
      </c>
      <c r="I580" s="55" t="s">
        <v>5485</v>
      </c>
      <c r="J580" s="55" t="s">
        <v>5486</v>
      </c>
      <c r="K580" s="55" t="s">
        <v>5487</v>
      </c>
      <c r="L580" s="55" t="s">
        <v>5488</v>
      </c>
      <c r="M580" s="91"/>
      <c r="N580" s="91"/>
      <c r="O580" s="91"/>
      <c r="P580" s="91"/>
    </row>
    <row r="581" spans="2:27">
      <c r="D581" s="45" t="s">
        <v>4049</v>
      </c>
      <c r="E581" s="45" t="s">
        <v>4050</v>
      </c>
      <c r="F581" s="45" t="s">
        <v>4051</v>
      </c>
      <c r="G581" s="45" t="s">
        <v>4052</v>
      </c>
      <c r="H581" s="45" t="s">
        <v>4053</v>
      </c>
      <c r="I581" s="45" t="s">
        <v>4054</v>
      </c>
      <c r="J581" s="45" t="s">
        <v>4055</v>
      </c>
      <c r="K581" s="45" t="s">
        <v>4056</v>
      </c>
      <c r="L581" s="45" t="s">
        <v>4057</v>
      </c>
      <c r="M581" s="45" t="s">
        <v>4058</v>
      </c>
      <c r="N581" s="45" t="s">
        <v>4059</v>
      </c>
      <c r="O581" s="45" t="s">
        <v>4060</v>
      </c>
      <c r="P581" s="45" t="s">
        <v>4061</v>
      </c>
      <c r="Z581" s="13" t="str">
        <f>Show!$B$157&amp;"S.27.01.04.22 Rows {"&amp;COLUMN($C$1)&amp;"}"&amp;"@ForceFilingCode:true"</f>
        <v>!S.27.01.04.22 Rows {3}@ForceFilingCode:true</v>
      </c>
      <c r="AA581" s="13" t="str">
        <f>Show!$B$157&amp;"S.27.01.04.22 Columns {"&amp;COLUMN($D$1)&amp;"}"</f>
        <v>!S.27.01.04.22 Columns {4}</v>
      </c>
    </row>
    <row r="582" spans="2:27">
      <c r="B582" s="43" t="s">
        <v>2880</v>
      </c>
      <c r="C582" s="44" t="s">
        <v>2878</v>
      </c>
      <c r="D582" s="58"/>
      <c r="E582" s="67"/>
      <c r="F582" s="67"/>
      <c r="G582" s="67"/>
      <c r="H582" s="67"/>
      <c r="I582" s="67"/>
      <c r="J582" s="67"/>
      <c r="K582" s="67"/>
      <c r="L582" s="67"/>
      <c r="M582" s="67"/>
      <c r="N582" s="67"/>
      <c r="O582" s="67"/>
      <c r="P582" s="59"/>
    </row>
    <row r="583" spans="2:27">
      <c r="B583" s="47" t="s">
        <v>5489</v>
      </c>
      <c r="C583" s="44" t="s">
        <v>2878</v>
      </c>
      <c r="D583" s="58"/>
      <c r="E583" s="67"/>
      <c r="F583" s="66"/>
      <c r="G583" s="66"/>
      <c r="H583" s="66"/>
      <c r="I583" s="66"/>
      <c r="J583" s="66"/>
      <c r="K583" s="66"/>
      <c r="L583" s="66"/>
      <c r="M583" s="66"/>
      <c r="N583" s="67"/>
      <c r="O583" s="67"/>
      <c r="P583" s="59"/>
    </row>
    <row r="584" spans="2:27">
      <c r="B584" s="49" t="s">
        <v>5124</v>
      </c>
      <c r="C584" s="44" t="s">
        <v>5490</v>
      </c>
      <c r="D584" s="58"/>
      <c r="E584" s="48"/>
      <c r="F584" s="50"/>
      <c r="G584" s="60"/>
      <c r="H584" s="70"/>
      <c r="I584" s="60"/>
      <c r="J584" s="70"/>
      <c r="K584" s="60"/>
      <c r="L584" s="70"/>
      <c r="M584" s="64"/>
      <c r="N584" s="58"/>
      <c r="O584" s="58"/>
      <c r="P584" s="48"/>
    </row>
    <row r="585" spans="2:27">
      <c r="B585" s="49" t="s">
        <v>5125</v>
      </c>
      <c r="C585" s="44" t="s">
        <v>5491</v>
      </c>
      <c r="D585" s="58"/>
      <c r="E585" s="48"/>
      <c r="F585" s="50"/>
      <c r="G585" s="60"/>
      <c r="H585" s="70"/>
      <c r="I585" s="60"/>
      <c r="J585" s="70"/>
      <c r="K585" s="60"/>
      <c r="L585" s="70"/>
      <c r="M585" s="64"/>
      <c r="N585" s="58"/>
      <c r="O585" s="58"/>
      <c r="P585" s="48"/>
    </row>
    <row r="586" spans="2:27">
      <c r="B586" s="49" t="s">
        <v>5174</v>
      </c>
      <c r="C586" s="44" t="s">
        <v>5492</v>
      </c>
      <c r="D586" s="58"/>
      <c r="E586" s="48"/>
      <c r="F586" s="50"/>
      <c r="G586" s="60"/>
      <c r="H586" s="70"/>
      <c r="I586" s="60"/>
      <c r="J586" s="70"/>
      <c r="K586" s="60"/>
      <c r="L586" s="70"/>
      <c r="M586" s="64"/>
      <c r="N586" s="58"/>
      <c r="O586" s="58"/>
      <c r="P586" s="48"/>
    </row>
    <row r="587" spans="2:27">
      <c r="B587" s="49" t="s">
        <v>5175</v>
      </c>
      <c r="C587" s="44" t="s">
        <v>5493</v>
      </c>
      <c r="D587" s="58"/>
      <c r="E587" s="48"/>
      <c r="F587" s="50"/>
      <c r="G587" s="60"/>
      <c r="H587" s="70"/>
      <c r="I587" s="60"/>
      <c r="J587" s="70"/>
      <c r="K587" s="60"/>
      <c r="L587" s="70"/>
      <c r="M587" s="64"/>
      <c r="N587" s="58"/>
      <c r="O587" s="58"/>
      <c r="P587" s="48"/>
    </row>
    <row r="588" spans="2:27">
      <c r="B588" s="49" t="s">
        <v>5176</v>
      </c>
      <c r="C588" s="44" t="s">
        <v>5494</v>
      </c>
      <c r="D588" s="58"/>
      <c r="E588" s="48"/>
      <c r="F588" s="50"/>
      <c r="G588" s="60"/>
      <c r="H588" s="70"/>
      <c r="I588" s="60"/>
      <c r="J588" s="70"/>
      <c r="K588" s="60"/>
      <c r="L588" s="70"/>
      <c r="M588" s="64"/>
      <c r="N588" s="58"/>
      <c r="O588" s="58"/>
      <c r="P588" s="48"/>
    </row>
    <row r="589" spans="2:27">
      <c r="B589" s="49" t="s">
        <v>5126</v>
      </c>
      <c r="C589" s="44" t="s">
        <v>5495</v>
      </c>
      <c r="D589" s="58"/>
      <c r="E589" s="48"/>
      <c r="F589" s="50"/>
      <c r="G589" s="60"/>
      <c r="H589" s="70"/>
      <c r="I589" s="60"/>
      <c r="J589" s="70"/>
      <c r="K589" s="60"/>
      <c r="L589" s="70"/>
      <c r="M589" s="64"/>
      <c r="N589" s="58"/>
      <c r="O589" s="58"/>
      <c r="P589" s="48"/>
    </row>
    <row r="590" spans="2:27">
      <c r="B590" s="49" t="s">
        <v>5128</v>
      </c>
      <c r="C590" s="44" t="s">
        <v>5496</v>
      </c>
      <c r="D590" s="58"/>
      <c r="E590" s="48"/>
      <c r="F590" s="50"/>
      <c r="G590" s="60"/>
      <c r="H590" s="70"/>
      <c r="I590" s="60"/>
      <c r="J590" s="70"/>
      <c r="K590" s="60"/>
      <c r="L590" s="70"/>
      <c r="M590" s="64"/>
      <c r="N590" s="58"/>
      <c r="O590" s="58"/>
      <c r="P590" s="48"/>
    </row>
    <row r="591" spans="2:27">
      <c r="B591" s="49" t="s">
        <v>5405</v>
      </c>
      <c r="C591" s="44" t="s">
        <v>5497</v>
      </c>
      <c r="D591" s="58"/>
      <c r="E591" s="48"/>
      <c r="F591" s="50"/>
      <c r="G591" s="60"/>
      <c r="H591" s="70"/>
      <c r="I591" s="60"/>
      <c r="J591" s="70"/>
      <c r="K591" s="60"/>
      <c r="L591" s="70"/>
      <c r="M591" s="64"/>
      <c r="N591" s="58"/>
      <c r="O591" s="58"/>
      <c r="P591" s="48"/>
    </row>
    <row r="592" spans="2:27">
      <c r="B592" s="49" t="s">
        <v>5140</v>
      </c>
      <c r="C592" s="44" t="s">
        <v>5498</v>
      </c>
      <c r="D592" s="58"/>
      <c r="E592" s="48"/>
      <c r="F592" s="50"/>
      <c r="G592" s="60"/>
      <c r="H592" s="70"/>
      <c r="I592" s="60"/>
      <c r="J592" s="70"/>
      <c r="K592" s="60"/>
      <c r="L592" s="70"/>
      <c r="M592" s="64"/>
      <c r="N592" s="58"/>
      <c r="O592" s="58"/>
      <c r="P592" s="48"/>
    </row>
    <row r="593" spans="2:16">
      <c r="B593" s="49" t="s">
        <v>5455</v>
      </c>
      <c r="C593" s="44" t="s">
        <v>5499</v>
      </c>
      <c r="D593" s="58"/>
      <c r="E593" s="48"/>
      <c r="F593" s="50"/>
      <c r="G593" s="60"/>
      <c r="H593" s="70"/>
      <c r="I593" s="60"/>
      <c r="J593" s="70"/>
      <c r="K593" s="60"/>
      <c r="L593" s="70"/>
      <c r="M593" s="64"/>
      <c r="N593" s="58"/>
      <c r="O593" s="58"/>
      <c r="P593" s="48"/>
    </row>
    <row r="594" spans="2:16">
      <c r="B594" s="49" t="s">
        <v>5177</v>
      </c>
      <c r="C594" s="44" t="s">
        <v>5500</v>
      </c>
      <c r="D594" s="58"/>
      <c r="E594" s="48"/>
      <c r="F594" s="50"/>
      <c r="G594" s="60"/>
      <c r="H594" s="70"/>
      <c r="I594" s="60"/>
      <c r="J594" s="70"/>
      <c r="K594" s="60"/>
      <c r="L594" s="70"/>
      <c r="M594" s="64"/>
      <c r="N594" s="58"/>
      <c r="O594" s="58"/>
      <c r="P594" s="48"/>
    </row>
    <row r="595" spans="2:16">
      <c r="B595" s="49" t="s">
        <v>5132</v>
      </c>
      <c r="C595" s="44" t="s">
        <v>5501</v>
      </c>
      <c r="D595" s="58"/>
      <c r="E595" s="48"/>
      <c r="F595" s="50"/>
      <c r="G595" s="60"/>
      <c r="H595" s="70"/>
      <c r="I595" s="60"/>
      <c r="J595" s="70"/>
      <c r="K595" s="60"/>
      <c r="L595" s="70"/>
      <c r="M595" s="64"/>
      <c r="N595" s="58"/>
      <c r="O595" s="58"/>
      <c r="P595" s="48"/>
    </row>
    <row r="596" spans="2:16">
      <c r="B596" s="49" t="s">
        <v>5133</v>
      </c>
      <c r="C596" s="44" t="s">
        <v>5502</v>
      </c>
      <c r="D596" s="58"/>
      <c r="E596" s="48"/>
      <c r="F596" s="50"/>
      <c r="G596" s="60"/>
      <c r="H596" s="70"/>
      <c r="I596" s="60"/>
      <c r="J596" s="70"/>
      <c r="K596" s="60"/>
      <c r="L596" s="70"/>
      <c r="M596" s="64"/>
      <c r="N596" s="58"/>
      <c r="O596" s="58"/>
      <c r="P596" s="48"/>
    </row>
    <row r="597" spans="2:16">
      <c r="B597" s="49" t="s">
        <v>5134</v>
      </c>
      <c r="C597" s="44" t="s">
        <v>5503</v>
      </c>
      <c r="D597" s="58"/>
      <c r="E597" s="48"/>
      <c r="F597" s="50"/>
      <c r="G597" s="60"/>
      <c r="H597" s="70"/>
      <c r="I597" s="60"/>
      <c r="J597" s="70"/>
      <c r="K597" s="60"/>
      <c r="L597" s="70"/>
      <c r="M597" s="64"/>
      <c r="N597" s="58"/>
      <c r="O597" s="58"/>
      <c r="P597" s="48"/>
    </row>
    <row r="598" spans="2:16">
      <c r="B598" s="49" t="s">
        <v>5135</v>
      </c>
      <c r="C598" s="44" t="s">
        <v>5504</v>
      </c>
      <c r="D598" s="58"/>
      <c r="E598" s="48"/>
      <c r="F598" s="50"/>
      <c r="G598" s="60"/>
      <c r="H598" s="70"/>
      <c r="I598" s="60"/>
      <c r="J598" s="70"/>
      <c r="K598" s="60"/>
      <c r="L598" s="70"/>
      <c r="M598" s="64"/>
      <c r="N598" s="58"/>
      <c r="O598" s="58"/>
      <c r="P598" s="48"/>
    </row>
    <row r="599" spans="2:16">
      <c r="B599" s="49" t="s">
        <v>5462</v>
      </c>
      <c r="C599" s="44" t="s">
        <v>5505</v>
      </c>
      <c r="D599" s="58"/>
      <c r="E599" s="48"/>
      <c r="F599" s="50"/>
      <c r="G599" s="60"/>
      <c r="H599" s="70"/>
      <c r="I599" s="60"/>
      <c r="J599" s="70"/>
      <c r="K599" s="60"/>
      <c r="L599" s="70"/>
      <c r="M599" s="64"/>
      <c r="N599" s="58"/>
      <c r="O599" s="58"/>
      <c r="P599" s="48"/>
    </row>
    <row r="600" spans="2:16">
      <c r="B600" s="49" t="s">
        <v>5416</v>
      </c>
      <c r="C600" s="44" t="s">
        <v>5506</v>
      </c>
      <c r="D600" s="58"/>
      <c r="E600" s="48"/>
      <c r="F600" s="50"/>
      <c r="G600" s="60"/>
      <c r="H600" s="70"/>
      <c r="I600" s="60"/>
      <c r="J600" s="70"/>
      <c r="K600" s="60"/>
      <c r="L600" s="70"/>
      <c r="M600" s="64"/>
      <c r="N600" s="58"/>
      <c r="O600" s="58"/>
      <c r="P600" s="48"/>
    </row>
    <row r="601" spans="2:16">
      <c r="B601" s="49" t="s">
        <v>5418</v>
      </c>
      <c r="C601" s="44" t="s">
        <v>5507</v>
      </c>
      <c r="D601" s="58"/>
      <c r="E601" s="48"/>
      <c r="F601" s="50"/>
      <c r="G601" s="60"/>
      <c r="H601" s="70"/>
      <c r="I601" s="60"/>
      <c r="J601" s="70"/>
      <c r="K601" s="60"/>
      <c r="L601" s="70"/>
      <c r="M601" s="64"/>
      <c r="N601" s="58"/>
      <c r="O601" s="58"/>
      <c r="P601" s="48"/>
    </row>
    <row r="602" spans="2:16">
      <c r="B602" s="49" t="s">
        <v>5136</v>
      </c>
      <c r="C602" s="44" t="s">
        <v>5508</v>
      </c>
      <c r="D602" s="58"/>
      <c r="E602" s="48"/>
      <c r="F602" s="50"/>
      <c r="G602" s="60"/>
      <c r="H602" s="70"/>
      <c r="I602" s="60"/>
      <c r="J602" s="70"/>
      <c r="K602" s="60"/>
      <c r="L602" s="70"/>
      <c r="M602" s="64"/>
      <c r="N602" s="58"/>
      <c r="O602" s="58"/>
      <c r="P602" s="48"/>
    </row>
    <row r="603" spans="2:16">
      <c r="B603" s="49" t="s">
        <v>5179</v>
      </c>
      <c r="C603" s="44" t="s">
        <v>5509</v>
      </c>
      <c r="D603" s="58"/>
      <c r="E603" s="48"/>
      <c r="F603" s="50"/>
      <c r="G603" s="60"/>
      <c r="H603" s="70"/>
      <c r="I603" s="60"/>
      <c r="J603" s="70"/>
      <c r="K603" s="60"/>
      <c r="L603" s="70"/>
      <c r="M603" s="64"/>
      <c r="N603" s="58"/>
      <c r="O603" s="58"/>
      <c r="P603" s="48"/>
    </row>
    <row r="604" spans="2:16">
      <c r="B604" s="49" t="s">
        <v>5137</v>
      </c>
      <c r="C604" s="44" t="s">
        <v>5510</v>
      </c>
      <c r="D604" s="58"/>
      <c r="E604" s="48"/>
      <c r="F604" s="50"/>
      <c r="G604" s="60"/>
      <c r="H604" s="70"/>
      <c r="I604" s="60"/>
      <c r="J604" s="70"/>
      <c r="K604" s="60"/>
      <c r="L604" s="70"/>
      <c r="M604" s="64"/>
      <c r="N604" s="58"/>
      <c r="O604" s="58"/>
      <c r="P604" s="48"/>
    </row>
    <row r="605" spans="2:16">
      <c r="B605" s="49" t="s">
        <v>5138</v>
      </c>
      <c r="C605" s="44" t="s">
        <v>5511</v>
      </c>
      <c r="D605" s="58"/>
      <c r="E605" s="48"/>
      <c r="F605" s="50"/>
      <c r="G605" s="60"/>
      <c r="H605" s="70"/>
      <c r="I605" s="60"/>
      <c r="J605" s="70"/>
      <c r="K605" s="60"/>
      <c r="L605" s="70"/>
      <c r="M605" s="64"/>
      <c r="N605" s="58"/>
      <c r="O605" s="58"/>
      <c r="P605" s="48"/>
    </row>
    <row r="606" spans="2:16">
      <c r="B606" s="49" t="s">
        <v>5139</v>
      </c>
      <c r="C606" s="44" t="s">
        <v>5512</v>
      </c>
      <c r="D606" s="58"/>
      <c r="E606" s="48"/>
      <c r="F606" s="50"/>
      <c r="G606" s="60"/>
      <c r="H606" s="70"/>
      <c r="I606" s="60"/>
      <c r="J606" s="70"/>
      <c r="K606" s="60"/>
      <c r="L606" s="70"/>
      <c r="M606" s="64"/>
      <c r="N606" s="58"/>
      <c r="O606" s="58"/>
      <c r="P606" s="48"/>
    </row>
    <row r="607" spans="2:16">
      <c r="B607" s="49" t="s">
        <v>5180</v>
      </c>
      <c r="C607" s="44" t="s">
        <v>5513</v>
      </c>
      <c r="D607" s="58"/>
      <c r="E607" s="48"/>
      <c r="F607" s="50"/>
      <c r="G607" s="60"/>
      <c r="H607" s="70"/>
      <c r="I607" s="60"/>
      <c r="J607" s="70"/>
      <c r="K607" s="60"/>
      <c r="L607" s="70"/>
      <c r="M607" s="64"/>
      <c r="N607" s="58"/>
      <c r="O607" s="58"/>
      <c r="P607" s="48"/>
    </row>
    <row r="608" spans="2:16">
      <c r="B608" s="49" t="s">
        <v>5181</v>
      </c>
      <c r="C608" s="44" t="s">
        <v>5514</v>
      </c>
      <c r="D608" s="58"/>
      <c r="E608" s="48"/>
      <c r="F608" s="50"/>
      <c r="G608" s="60"/>
      <c r="H608" s="70"/>
      <c r="I608" s="60"/>
      <c r="J608" s="70"/>
      <c r="K608" s="60"/>
      <c r="L608" s="70"/>
      <c r="M608" s="64"/>
      <c r="N608" s="58"/>
      <c r="O608" s="58"/>
      <c r="P608" s="48"/>
    </row>
    <row r="609" spans="2:27">
      <c r="B609" s="49" t="s">
        <v>5182</v>
      </c>
      <c r="C609" s="44" t="s">
        <v>5515</v>
      </c>
      <c r="D609" s="58"/>
      <c r="E609" s="48"/>
      <c r="F609" s="50"/>
      <c r="G609" s="60"/>
      <c r="H609" s="70"/>
      <c r="I609" s="60"/>
      <c r="J609" s="70"/>
      <c r="K609" s="60"/>
      <c r="L609" s="70"/>
      <c r="M609" s="64"/>
      <c r="N609" s="58"/>
      <c r="O609" s="58"/>
      <c r="P609" s="48"/>
    </row>
    <row r="610" spans="2:27">
      <c r="B610" s="49" t="s">
        <v>5129</v>
      </c>
      <c r="C610" s="44" t="s">
        <v>5516</v>
      </c>
      <c r="D610" s="58"/>
      <c r="E610" s="48"/>
      <c r="F610" s="50"/>
      <c r="G610" s="60"/>
      <c r="H610" s="70"/>
      <c r="I610" s="60"/>
      <c r="J610" s="70"/>
      <c r="K610" s="60"/>
      <c r="L610" s="70"/>
      <c r="M610" s="64"/>
      <c r="N610" s="58"/>
      <c r="O610" s="58"/>
      <c r="P610" s="48"/>
    </row>
    <row r="611" spans="2:27">
      <c r="B611" s="49" t="s">
        <v>5142</v>
      </c>
      <c r="C611" s="44" t="s">
        <v>5517</v>
      </c>
      <c r="D611" s="58"/>
      <c r="E611" s="48"/>
      <c r="F611" s="50"/>
      <c r="G611" s="60"/>
      <c r="H611" s="70"/>
      <c r="I611" s="60"/>
      <c r="J611" s="70"/>
      <c r="K611" s="60"/>
      <c r="L611" s="70"/>
      <c r="M611" s="64"/>
      <c r="N611" s="58"/>
      <c r="O611" s="58"/>
      <c r="P611" s="48"/>
    </row>
    <row r="612" spans="2:27">
      <c r="B612" s="49" t="s">
        <v>5143</v>
      </c>
      <c r="C612" s="44" t="s">
        <v>5518</v>
      </c>
      <c r="D612" s="58"/>
      <c r="E612" s="48"/>
      <c r="F612" s="50"/>
      <c r="G612" s="60"/>
      <c r="H612" s="70"/>
      <c r="I612" s="60"/>
      <c r="J612" s="70"/>
      <c r="K612" s="60"/>
      <c r="L612" s="70"/>
      <c r="M612" s="64"/>
      <c r="N612" s="58"/>
      <c r="O612" s="58"/>
      <c r="P612" s="48"/>
    </row>
    <row r="613" spans="2:27">
      <c r="B613" s="49" t="s">
        <v>5431</v>
      </c>
      <c r="C613" s="44" t="s">
        <v>5519</v>
      </c>
      <c r="D613" s="58"/>
      <c r="E613" s="48"/>
      <c r="F613" s="50"/>
      <c r="G613" s="60"/>
      <c r="H613" s="70"/>
      <c r="I613" s="60"/>
      <c r="J613" s="70"/>
      <c r="K613" s="60"/>
      <c r="L613" s="70"/>
      <c r="M613" s="64"/>
      <c r="N613" s="58"/>
      <c r="O613" s="58"/>
      <c r="P613" s="48"/>
    </row>
    <row r="614" spans="2:27">
      <c r="B614" s="49" t="s">
        <v>5144</v>
      </c>
      <c r="C614" s="44" t="s">
        <v>5520</v>
      </c>
      <c r="D614" s="56"/>
      <c r="E614" s="46"/>
      <c r="F614" s="50"/>
      <c r="G614" s="60"/>
      <c r="H614" s="70"/>
      <c r="I614" s="60"/>
      <c r="J614" s="70"/>
      <c r="K614" s="60"/>
      <c r="L614" s="70"/>
      <c r="M614" s="64"/>
      <c r="N614" s="56"/>
      <c r="O614" s="56"/>
      <c r="P614" s="46"/>
    </row>
    <row r="616" spans="2:27">
      <c r="Z616" s="13" t="str">
        <f>Show!$B$157&amp;Show!$B$157&amp;"S.27.01.04.22 Rows {"&amp;COLUMN($C$1)&amp;"}"</f>
        <v>!!S.27.01.04.22 Rows {3}</v>
      </c>
      <c r="AA616" s="13" t="str">
        <f>Show!$B$157&amp;Show!$B$157&amp;"S.27.01.04.22 Columns {"&amp;COLUMN($P$1)&amp;"}"</f>
        <v>!!S.27.01.04.22 Columns {16}</v>
      </c>
    </row>
    <row r="618" spans="2:27" ht="18.75">
      <c r="B618" s="88" t="s">
        <v>5568</v>
      </c>
      <c r="C618" s="87"/>
      <c r="D618" s="87"/>
      <c r="E618" s="87"/>
      <c r="F618" s="87"/>
      <c r="G618" s="87"/>
      <c r="H618" s="87"/>
      <c r="I618" s="87"/>
      <c r="J618" s="87"/>
      <c r="K618" s="87"/>
      <c r="L618" s="87"/>
    </row>
    <row r="622" spans="2:27">
      <c r="D622" s="89" t="s">
        <v>5522</v>
      </c>
      <c r="E622" s="92" t="s">
        <v>2877</v>
      </c>
      <c r="F622" s="93"/>
      <c r="G622" s="93"/>
      <c r="H622" s="93"/>
      <c r="I622" s="93"/>
      <c r="J622" s="93"/>
      <c r="K622" s="93"/>
      <c r="L622" s="93"/>
      <c r="M622" s="94"/>
    </row>
    <row r="623" spans="2:27">
      <c r="D623" s="90"/>
      <c r="E623" s="95"/>
      <c r="F623" s="96"/>
      <c r="G623" s="96"/>
      <c r="H623" s="96"/>
      <c r="I623" s="96"/>
      <c r="J623" s="96"/>
      <c r="K623" s="96"/>
      <c r="L623" s="96"/>
      <c r="M623" s="97"/>
    </row>
    <row r="624" spans="2:27">
      <c r="D624" s="90"/>
      <c r="E624" s="89" t="s">
        <v>5441</v>
      </c>
      <c r="F624" s="98" t="s">
        <v>5442</v>
      </c>
      <c r="G624" s="100"/>
      <c r="H624" s="100"/>
      <c r="I624" s="99"/>
      <c r="J624" s="89" t="s">
        <v>5119</v>
      </c>
      <c r="K624" s="89" t="s">
        <v>5120</v>
      </c>
      <c r="L624" s="89" t="s">
        <v>5121</v>
      </c>
      <c r="M624" s="89" t="s">
        <v>5122</v>
      </c>
    </row>
    <row r="625" spans="2:27" ht="30">
      <c r="D625" s="91"/>
      <c r="E625" s="91"/>
      <c r="F625" s="55" t="s">
        <v>5388</v>
      </c>
      <c r="G625" s="55" t="s">
        <v>5393</v>
      </c>
      <c r="H625" s="55" t="s">
        <v>5395</v>
      </c>
      <c r="I625" s="55" t="s">
        <v>5396</v>
      </c>
      <c r="J625" s="91"/>
      <c r="K625" s="91"/>
      <c r="L625" s="91"/>
      <c r="M625" s="91"/>
    </row>
    <row r="626" spans="2:27">
      <c r="D626" s="45" t="s">
        <v>4048</v>
      </c>
      <c r="E626" s="45" t="s">
        <v>4038</v>
      </c>
      <c r="F626" s="45" t="s">
        <v>4039</v>
      </c>
      <c r="G626" s="45" t="s">
        <v>4040</v>
      </c>
      <c r="H626" s="45" t="s">
        <v>4042</v>
      </c>
      <c r="I626" s="45" t="s">
        <v>4044</v>
      </c>
      <c r="J626" s="45" t="s">
        <v>4045</v>
      </c>
      <c r="K626" s="45" t="s">
        <v>5443</v>
      </c>
      <c r="L626" s="45" t="s">
        <v>5444</v>
      </c>
      <c r="M626" s="45" t="s">
        <v>4047</v>
      </c>
      <c r="Z626" s="13" t="str">
        <f>Show!$B$157&amp;"S.27.01.04.23 Rows {"&amp;COLUMN($C$1)&amp;"}"&amp;"@ForceFilingCode:true"</f>
        <v>!S.27.01.04.23 Rows {3}@ForceFilingCode:true</v>
      </c>
      <c r="AA626" s="13" t="str">
        <f>Show!$B$157&amp;"S.27.01.04.23 Columns {"&amp;COLUMN($D$1)&amp;"}"</f>
        <v>!S.27.01.04.23 Columns {4}</v>
      </c>
    </row>
    <row r="627" spans="2:27">
      <c r="B627" s="43" t="s">
        <v>2880</v>
      </c>
      <c r="C627" s="44" t="s">
        <v>2878</v>
      </c>
      <c r="D627" s="58"/>
      <c r="E627" s="67"/>
      <c r="F627" s="67"/>
      <c r="G627" s="67"/>
      <c r="H627" s="67"/>
      <c r="I627" s="67"/>
      <c r="J627" s="67"/>
      <c r="K627" s="67"/>
      <c r="L627" s="67"/>
      <c r="M627" s="59"/>
    </row>
    <row r="628" spans="2:27">
      <c r="B628" s="47" t="s">
        <v>5445</v>
      </c>
      <c r="C628" s="44" t="s">
        <v>2878</v>
      </c>
      <c r="D628" s="56"/>
      <c r="E628" s="66"/>
      <c r="F628" s="66"/>
      <c r="G628" s="66"/>
      <c r="H628" s="66"/>
      <c r="I628" s="66"/>
      <c r="J628" s="66"/>
      <c r="K628" s="66"/>
      <c r="L628" s="66"/>
      <c r="M628" s="57"/>
    </row>
    <row r="629" spans="2:27">
      <c r="B629" s="49" t="s">
        <v>5523</v>
      </c>
      <c r="C629" s="41" t="s">
        <v>5524</v>
      </c>
      <c r="D629" s="51"/>
      <c r="E629" s="50"/>
      <c r="F629" s="60"/>
      <c r="G629" s="60"/>
      <c r="H629" s="60"/>
      <c r="I629" s="60"/>
      <c r="J629" s="60"/>
      <c r="K629" s="60"/>
      <c r="L629" s="60"/>
      <c r="M629" s="60"/>
    </row>
    <row r="631" spans="2:27">
      <c r="Z631" s="13" t="str">
        <f>Show!$B$157&amp;Show!$B$157&amp;"S.27.01.04.23 Rows {"&amp;COLUMN($C$1)&amp;"}"</f>
        <v>!!S.27.01.04.23 Rows {3}</v>
      </c>
      <c r="AA631" s="13" t="str">
        <f>Show!$B$157&amp;Show!$B$157&amp;"S.27.01.04.23 Columns {"&amp;COLUMN($M$1)&amp;"}"</f>
        <v>!!S.27.01.04.23 Columns {13}</v>
      </c>
    </row>
    <row r="633" spans="2:27" ht="18.75">
      <c r="B633" s="88" t="s">
        <v>5569</v>
      </c>
      <c r="C633" s="87"/>
      <c r="D633" s="87"/>
      <c r="E633" s="87"/>
      <c r="F633" s="87"/>
      <c r="G633" s="87"/>
      <c r="H633" s="87"/>
      <c r="I633" s="87"/>
      <c r="J633" s="87"/>
      <c r="K633" s="87"/>
      <c r="L633" s="87"/>
    </row>
    <row r="637" spans="2:27">
      <c r="D637" s="89" t="s">
        <v>5522</v>
      </c>
      <c r="E637" s="92" t="s">
        <v>2877</v>
      </c>
      <c r="F637" s="93"/>
      <c r="G637" s="93"/>
      <c r="H637" s="93"/>
      <c r="I637" s="93"/>
      <c r="J637" s="93"/>
      <c r="K637" s="93"/>
      <c r="L637" s="93"/>
      <c r="M637" s="93"/>
      <c r="N637" s="93"/>
      <c r="O637" s="93"/>
      <c r="P637" s="93"/>
      <c r="Q637" s="94"/>
    </row>
    <row r="638" spans="2:27">
      <c r="D638" s="90"/>
      <c r="E638" s="95"/>
      <c r="F638" s="96"/>
      <c r="G638" s="96"/>
      <c r="H638" s="96"/>
      <c r="I638" s="96"/>
      <c r="J638" s="96"/>
      <c r="K638" s="96"/>
      <c r="L638" s="96"/>
      <c r="M638" s="96"/>
      <c r="N638" s="96"/>
      <c r="O638" s="96"/>
      <c r="P638" s="96"/>
      <c r="Q638" s="97"/>
    </row>
    <row r="639" spans="2:27">
      <c r="D639" s="90"/>
      <c r="E639" s="98" t="s">
        <v>4916</v>
      </c>
      <c r="F639" s="99"/>
      <c r="G639" s="98" t="s">
        <v>4913</v>
      </c>
      <c r="H639" s="100"/>
      <c r="I639" s="100"/>
      <c r="J639" s="100"/>
      <c r="K639" s="100"/>
      <c r="L639" s="100"/>
      <c r="M639" s="99"/>
      <c r="N639" s="89" t="s">
        <v>5119</v>
      </c>
      <c r="O639" s="89" t="s">
        <v>5120</v>
      </c>
      <c r="P639" s="89" t="s">
        <v>5121</v>
      </c>
      <c r="Q639" s="89" t="s">
        <v>5122</v>
      </c>
    </row>
    <row r="640" spans="2:27" ht="60">
      <c r="D640" s="91"/>
      <c r="E640" s="55" t="s">
        <v>5480</v>
      </c>
      <c r="F640" s="55" t="s">
        <v>5481</v>
      </c>
      <c r="G640" s="55" t="s">
        <v>5482</v>
      </c>
      <c r="H640" s="55" t="s">
        <v>5483</v>
      </c>
      <c r="I640" s="55" t="s">
        <v>5484</v>
      </c>
      <c r="J640" s="55" t="s">
        <v>5485</v>
      </c>
      <c r="K640" s="55" t="s">
        <v>5486</v>
      </c>
      <c r="L640" s="55" t="s">
        <v>5487</v>
      </c>
      <c r="M640" s="55" t="s">
        <v>5488</v>
      </c>
      <c r="N640" s="91"/>
      <c r="O640" s="91"/>
      <c r="P640" s="91"/>
      <c r="Q640" s="91"/>
    </row>
    <row r="641" spans="2:27">
      <c r="D641" s="45" t="s">
        <v>4062</v>
      </c>
      <c r="E641" s="45" t="s">
        <v>4049</v>
      </c>
      <c r="F641" s="45" t="s">
        <v>4050</v>
      </c>
      <c r="G641" s="45" t="s">
        <v>4051</v>
      </c>
      <c r="H641" s="45" t="s">
        <v>4052</v>
      </c>
      <c r="I641" s="45" t="s">
        <v>4053</v>
      </c>
      <c r="J641" s="45" t="s">
        <v>4054</v>
      </c>
      <c r="K641" s="45" t="s">
        <v>4055</v>
      </c>
      <c r="L641" s="45" t="s">
        <v>4056</v>
      </c>
      <c r="M641" s="45" t="s">
        <v>4057</v>
      </c>
      <c r="N641" s="45" t="s">
        <v>4058</v>
      </c>
      <c r="O641" s="45" t="s">
        <v>4059</v>
      </c>
      <c r="P641" s="45" t="s">
        <v>4060</v>
      </c>
      <c r="Q641" s="45" t="s">
        <v>4061</v>
      </c>
      <c r="Z641" s="13" t="str">
        <f>Show!$B$157&amp;"S.27.01.04.24 Rows {"&amp;COLUMN($C$1)&amp;"}"&amp;"@ForceFilingCode:true"</f>
        <v>!S.27.01.04.24 Rows {3}@ForceFilingCode:true</v>
      </c>
      <c r="AA641" s="13" t="str">
        <f>Show!$B$157&amp;"S.27.01.04.24 Columns {"&amp;COLUMN($D$1)&amp;"}"</f>
        <v>!S.27.01.04.24 Columns {4}</v>
      </c>
    </row>
    <row r="642" spans="2:27">
      <c r="B642" s="43" t="s">
        <v>2880</v>
      </c>
      <c r="C642" s="44" t="s">
        <v>2878</v>
      </c>
      <c r="D642" s="58"/>
      <c r="E642" s="67"/>
      <c r="F642" s="67"/>
      <c r="G642" s="67"/>
      <c r="H642" s="67"/>
      <c r="I642" s="67"/>
      <c r="J642" s="67"/>
      <c r="K642" s="67"/>
      <c r="L642" s="67"/>
      <c r="M642" s="67"/>
      <c r="N642" s="67"/>
      <c r="O642" s="67"/>
      <c r="P642" s="67"/>
      <c r="Q642" s="59"/>
    </row>
    <row r="643" spans="2:27">
      <c r="B643" s="47" t="s">
        <v>5489</v>
      </c>
      <c r="C643" s="44" t="s">
        <v>2878</v>
      </c>
      <c r="D643" s="56"/>
      <c r="E643" s="67"/>
      <c r="F643" s="67"/>
      <c r="G643" s="66"/>
      <c r="H643" s="66"/>
      <c r="I643" s="66"/>
      <c r="J643" s="66"/>
      <c r="K643" s="66"/>
      <c r="L643" s="66"/>
      <c r="M643" s="66"/>
      <c r="N643" s="66"/>
      <c r="O643" s="67"/>
      <c r="P643" s="67"/>
      <c r="Q643" s="59"/>
    </row>
    <row r="644" spans="2:27">
      <c r="B644" s="49" t="s">
        <v>5526</v>
      </c>
      <c r="C644" s="41" t="s">
        <v>5527</v>
      </c>
      <c r="D644" s="51"/>
      <c r="E644" s="56"/>
      <c r="F644" s="46"/>
      <c r="G644" s="50"/>
      <c r="H644" s="60"/>
      <c r="I644" s="70"/>
      <c r="J644" s="60"/>
      <c r="K644" s="70"/>
      <c r="L644" s="60"/>
      <c r="M644" s="70"/>
      <c r="N644" s="64"/>
      <c r="O644" s="56"/>
      <c r="P644" s="56"/>
      <c r="Q644" s="46"/>
    </row>
    <row r="646" spans="2:27">
      <c r="Z646" s="13" t="str">
        <f>Show!$B$157&amp;Show!$B$157&amp;"S.27.01.04.24 Rows {"&amp;COLUMN($C$1)&amp;"}"</f>
        <v>!!S.27.01.04.24 Rows {3}</v>
      </c>
      <c r="AA646" s="13" t="str">
        <f>Show!$B$157&amp;Show!$B$157&amp;"S.27.01.04.24 Columns {"&amp;COLUMN($Q$1)&amp;"}"</f>
        <v>!!S.27.01.04.24 Columns {17}</v>
      </c>
    </row>
    <row r="648" spans="2:27" ht="18.75">
      <c r="B648" s="88" t="s">
        <v>5570</v>
      </c>
      <c r="C648" s="87"/>
      <c r="D648" s="87"/>
      <c r="E648" s="87"/>
      <c r="F648" s="87"/>
      <c r="G648" s="87"/>
      <c r="H648" s="87"/>
      <c r="I648" s="87"/>
      <c r="J648" s="87"/>
      <c r="K648" s="87"/>
      <c r="L648" s="87"/>
    </row>
    <row r="652" spans="2:27">
      <c r="D652" s="92" t="s">
        <v>2877</v>
      </c>
      <c r="E652" s="93"/>
      <c r="F652" s="93"/>
      <c r="G652" s="93"/>
      <c r="H652" s="93"/>
      <c r="I652" s="93"/>
      <c r="J652" s="93"/>
      <c r="K652" s="93"/>
      <c r="L652" s="93"/>
      <c r="M652" s="93"/>
      <c r="N652" s="93"/>
      <c r="O652" s="93"/>
      <c r="P652" s="94"/>
    </row>
    <row r="653" spans="2:27">
      <c r="D653" s="95"/>
      <c r="E653" s="96"/>
      <c r="F653" s="96"/>
      <c r="G653" s="96"/>
      <c r="H653" s="96"/>
      <c r="I653" s="96"/>
      <c r="J653" s="96"/>
      <c r="K653" s="96"/>
      <c r="L653" s="96"/>
      <c r="M653" s="96"/>
      <c r="N653" s="96"/>
      <c r="O653" s="96"/>
      <c r="P653" s="97"/>
    </row>
    <row r="654" spans="2:27">
      <c r="D654" s="98" t="s">
        <v>4916</v>
      </c>
      <c r="E654" s="99"/>
      <c r="F654" s="98" t="s">
        <v>4913</v>
      </c>
      <c r="G654" s="100"/>
      <c r="H654" s="100"/>
      <c r="I654" s="100"/>
      <c r="J654" s="100"/>
      <c r="K654" s="100"/>
      <c r="L654" s="99"/>
      <c r="M654" s="89" t="s">
        <v>5119</v>
      </c>
      <c r="N654" s="89" t="s">
        <v>5120</v>
      </c>
      <c r="O654" s="89" t="s">
        <v>5121</v>
      </c>
      <c r="P654" s="89" t="s">
        <v>5122</v>
      </c>
    </row>
    <row r="655" spans="2:27" ht="60">
      <c r="D655" s="55" t="s">
        <v>5480</v>
      </c>
      <c r="E655" s="55" t="s">
        <v>5481</v>
      </c>
      <c r="F655" s="55" t="s">
        <v>5482</v>
      </c>
      <c r="G655" s="55" t="s">
        <v>5483</v>
      </c>
      <c r="H655" s="55" t="s">
        <v>5484</v>
      </c>
      <c r="I655" s="55" t="s">
        <v>5485</v>
      </c>
      <c r="J655" s="55" t="s">
        <v>5486</v>
      </c>
      <c r="K655" s="55" t="s">
        <v>5487</v>
      </c>
      <c r="L655" s="55" t="s">
        <v>5488</v>
      </c>
      <c r="M655" s="91"/>
      <c r="N655" s="91"/>
      <c r="O655" s="91"/>
      <c r="P655" s="91"/>
    </row>
    <row r="656" spans="2:27">
      <c r="D656" s="45" t="s">
        <v>4049</v>
      </c>
      <c r="E656" s="45" t="s">
        <v>4050</v>
      </c>
      <c r="F656" s="45" t="s">
        <v>4051</v>
      </c>
      <c r="G656" s="45" t="s">
        <v>4052</v>
      </c>
      <c r="H656" s="45" t="s">
        <v>4053</v>
      </c>
      <c r="I656" s="45" t="s">
        <v>4054</v>
      </c>
      <c r="J656" s="45" t="s">
        <v>4055</v>
      </c>
      <c r="K656" s="45" t="s">
        <v>4056</v>
      </c>
      <c r="L656" s="45" t="s">
        <v>4057</v>
      </c>
      <c r="M656" s="45" t="s">
        <v>4058</v>
      </c>
      <c r="N656" s="45" t="s">
        <v>4059</v>
      </c>
      <c r="O656" s="45" t="s">
        <v>4060</v>
      </c>
      <c r="P656" s="45" t="s">
        <v>4061</v>
      </c>
      <c r="Z656" s="13" t="str">
        <f>Show!$B$157&amp;"S.27.01.04.25 Rows {"&amp;COLUMN($C$1)&amp;"}"&amp;"@ForceFilingCode:true"</f>
        <v>!S.27.01.04.25 Rows {3}@ForceFilingCode:true</v>
      </c>
      <c r="AA656" s="13" t="str">
        <f>Show!$B$157&amp;"S.27.01.04.25 Columns {"&amp;COLUMN($D$1)&amp;"}"</f>
        <v>!S.27.01.04.25 Columns {4}</v>
      </c>
    </row>
    <row r="657" spans="2:27">
      <c r="B657" s="43" t="s">
        <v>2880</v>
      </c>
      <c r="C657" s="44" t="s">
        <v>2878</v>
      </c>
      <c r="D657" s="58"/>
      <c r="E657" s="67"/>
      <c r="F657" s="67"/>
      <c r="G657" s="67"/>
      <c r="H657" s="67"/>
      <c r="I657" s="67"/>
      <c r="J657" s="67"/>
      <c r="K657" s="67"/>
      <c r="L657" s="67"/>
      <c r="M657" s="67"/>
      <c r="N657" s="67"/>
      <c r="O657" s="67"/>
      <c r="P657" s="59"/>
    </row>
    <row r="658" spans="2:27">
      <c r="B658" s="47" t="s">
        <v>5489</v>
      </c>
      <c r="C658" s="44" t="s">
        <v>2878</v>
      </c>
      <c r="D658" s="56"/>
      <c r="E658" s="66"/>
      <c r="F658" s="67"/>
      <c r="G658" s="67"/>
      <c r="H658" s="67"/>
      <c r="I658" s="67"/>
      <c r="J658" s="67"/>
      <c r="K658" s="67"/>
      <c r="L658" s="67"/>
      <c r="M658" s="66"/>
      <c r="N658" s="66"/>
      <c r="O658" s="66"/>
      <c r="P658" s="57"/>
    </row>
    <row r="659" spans="2:27">
      <c r="B659" s="49" t="s">
        <v>5529</v>
      </c>
      <c r="C659" s="41" t="s">
        <v>5530</v>
      </c>
      <c r="D659" s="50"/>
      <c r="E659" s="64"/>
      <c r="F659" s="56"/>
      <c r="G659" s="56"/>
      <c r="H659" s="56"/>
      <c r="I659" s="56"/>
      <c r="J659" s="56"/>
      <c r="K659" s="56"/>
      <c r="L659" s="46"/>
      <c r="M659" s="60"/>
      <c r="N659" s="60"/>
      <c r="O659" s="60"/>
      <c r="P659" s="60"/>
    </row>
    <row r="661" spans="2:27">
      <c r="Z661" s="13" t="str">
        <f>Show!$B$157&amp;Show!$B$157&amp;"S.27.01.04.25 Rows {"&amp;COLUMN($C$1)&amp;"}"</f>
        <v>!!S.27.01.04.25 Rows {3}</v>
      </c>
      <c r="AA661" s="13" t="str">
        <f>Show!$B$157&amp;Show!$B$157&amp;"S.27.01.04.25 Columns {"&amp;COLUMN($P$1)&amp;"}"</f>
        <v>!!S.27.01.04.25 Columns {16}</v>
      </c>
    </row>
    <row r="663" spans="2:27" ht="18.75">
      <c r="B663" s="88" t="s">
        <v>5571</v>
      </c>
      <c r="C663" s="87"/>
      <c r="D663" s="87"/>
      <c r="E663" s="87"/>
      <c r="F663" s="87"/>
      <c r="G663" s="87"/>
      <c r="H663" s="87"/>
      <c r="I663" s="87"/>
      <c r="J663" s="87"/>
      <c r="K663" s="87"/>
      <c r="L663" s="87"/>
    </row>
    <row r="667" spans="2:27">
      <c r="D667" s="92" t="s">
        <v>2877</v>
      </c>
      <c r="E667" s="93"/>
      <c r="F667" s="93"/>
      <c r="G667" s="93"/>
      <c r="H667" s="93"/>
      <c r="I667" s="93"/>
      <c r="J667" s="93"/>
      <c r="K667" s="93"/>
      <c r="L667" s="94"/>
    </row>
    <row r="668" spans="2:27">
      <c r="D668" s="95"/>
      <c r="E668" s="96"/>
      <c r="F668" s="96"/>
      <c r="G668" s="96"/>
      <c r="H668" s="96"/>
      <c r="I668" s="96"/>
      <c r="J668" s="96"/>
      <c r="K668" s="96"/>
      <c r="L668" s="97"/>
    </row>
    <row r="669" spans="2:27">
      <c r="D669" s="89" t="s">
        <v>5441</v>
      </c>
      <c r="E669" s="98" t="s">
        <v>5442</v>
      </c>
      <c r="F669" s="100"/>
      <c r="G669" s="100"/>
      <c r="H669" s="99"/>
      <c r="I669" s="89" t="s">
        <v>5119</v>
      </c>
      <c r="J669" s="89" t="s">
        <v>5120</v>
      </c>
      <c r="K669" s="89" t="s">
        <v>5121</v>
      </c>
      <c r="L669" s="89" t="s">
        <v>5122</v>
      </c>
    </row>
    <row r="670" spans="2:27" ht="30">
      <c r="D670" s="91"/>
      <c r="E670" s="55" t="s">
        <v>5388</v>
      </c>
      <c r="F670" s="55" t="s">
        <v>5393</v>
      </c>
      <c r="G670" s="55" t="s">
        <v>5395</v>
      </c>
      <c r="H670" s="55" t="s">
        <v>5396</v>
      </c>
      <c r="I670" s="91"/>
      <c r="J670" s="91"/>
      <c r="K670" s="91"/>
      <c r="L670" s="91"/>
    </row>
    <row r="671" spans="2:27">
      <c r="D671" s="45" t="s">
        <v>4038</v>
      </c>
      <c r="E671" s="45" t="s">
        <v>4039</v>
      </c>
      <c r="F671" s="45" t="s">
        <v>4040</v>
      </c>
      <c r="G671" s="45" t="s">
        <v>4042</v>
      </c>
      <c r="H671" s="45" t="s">
        <v>4044</v>
      </c>
      <c r="I671" s="45" t="s">
        <v>4045</v>
      </c>
      <c r="J671" s="45" t="s">
        <v>5443</v>
      </c>
      <c r="K671" s="45" t="s">
        <v>5444</v>
      </c>
      <c r="L671" s="45" t="s">
        <v>4047</v>
      </c>
      <c r="Z671" s="13" t="str">
        <f>Show!$B$157&amp;"S.27.01.04.26 Rows {"&amp;COLUMN($C$1)&amp;"}"&amp;"@ForceFilingCode:true"</f>
        <v>!S.27.01.04.26 Rows {3}@ForceFilingCode:true</v>
      </c>
      <c r="AA671" s="13" t="str">
        <f>Show!$B$157&amp;"S.27.01.04.26 Columns {"&amp;COLUMN($D$1)&amp;"}"</f>
        <v>!S.27.01.04.26 Columns {4}</v>
      </c>
    </row>
    <row r="672" spans="2:27">
      <c r="B672" s="43" t="s">
        <v>2880</v>
      </c>
      <c r="C672" s="44" t="s">
        <v>2878</v>
      </c>
      <c r="D672" s="58"/>
      <c r="E672" s="67"/>
      <c r="F672" s="67"/>
      <c r="G672" s="67"/>
      <c r="H672" s="67"/>
      <c r="I672" s="67"/>
      <c r="J672" s="67"/>
      <c r="K672" s="67"/>
      <c r="L672" s="59"/>
    </row>
    <row r="673" spans="2:27">
      <c r="B673" s="47" t="s">
        <v>5445</v>
      </c>
      <c r="C673" s="44" t="s">
        <v>2878</v>
      </c>
      <c r="D673" s="58"/>
      <c r="E673" s="67"/>
      <c r="F673" s="67"/>
      <c r="G673" s="67"/>
      <c r="H673" s="67"/>
      <c r="I673" s="66"/>
      <c r="J673" s="66"/>
      <c r="K673" s="66"/>
      <c r="L673" s="57"/>
    </row>
    <row r="674" spans="2:27">
      <c r="B674" s="49" t="s">
        <v>5532</v>
      </c>
      <c r="C674" s="44" t="s">
        <v>5533</v>
      </c>
      <c r="D674" s="58"/>
      <c r="E674" s="58"/>
      <c r="F674" s="58"/>
      <c r="G674" s="58"/>
      <c r="H674" s="48"/>
      <c r="I674" s="60"/>
      <c r="J674" s="63"/>
      <c r="K674" s="63"/>
      <c r="L674" s="60"/>
    </row>
    <row r="675" spans="2:27">
      <c r="B675" s="49" t="s">
        <v>5436</v>
      </c>
      <c r="C675" s="44" t="s">
        <v>5534</v>
      </c>
      <c r="D675" s="58"/>
      <c r="E675" s="58"/>
      <c r="F675" s="58"/>
      <c r="G675" s="58"/>
      <c r="H675" s="48"/>
      <c r="I675" s="64"/>
      <c r="J675" s="58"/>
      <c r="K675" s="48"/>
      <c r="L675" s="60"/>
    </row>
    <row r="676" spans="2:27">
      <c r="B676" s="49" t="s">
        <v>5535</v>
      </c>
      <c r="C676" s="44" t="s">
        <v>5536</v>
      </c>
      <c r="D676" s="56"/>
      <c r="E676" s="56"/>
      <c r="F676" s="56"/>
      <c r="G676" s="56"/>
      <c r="H676" s="46"/>
      <c r="I676" s="64"/>
      <c r="J676" s="56"/>
      <c r="K676" s="46"/>
      <c r="L676" s="60"/>
    </row>
    <row r="678" spans="2:27">
      <c r="Z678" s="13" t="str">
        <f>Show!$B$157&amp;Show!$B$157&amp;"S.27.01.04.26 Rows {"&amp;COLUMN($C$1)&amp;"}"</f>
        <v>!!S.27.01.04.26 Rows {3}</v>
      </c>
      <c r="AA678" s="13" t="str">
        <f>Show!$B$157&amp;Show!$B$157&amp;"S.27.01.04.26 Columns {"&amp;COLUMN($L$1)&amp;"}"</f>
        <v>!!S.27.01.04.26 Columns {12}</v>
      </c>
    </row>
    <row r="680" spans="2:27" ht="18.75">
      <c r="B680" s="88" t="s">
        <v>5572</v>
      </c>
      <c r="C680" s="87"/>
      <c r="D680" s="87"/>
      <c r="E680" s="87"/>
      <c r="F680" s="87"/>
      <c r="G680" s="87"/>
      <c r="H680" s="87"/>
      <c r="I680" s="87"/>
      <c r="J680" s="87"/>
      <c r="K680" s="87"/>
      <c r="L680" s="87"/>
    </row>
    <row r="684" spans="2:27">
      <c r="D684" s="89" t="s">
        <v>2877</v>
      </c>
    </row>
    <row r="685" spans="2:27">
      <c r="D685" s="91"/>
    </row>
    <row r="686" spans="2:27" ht="30">
      <c r="D686" s="55" t="s">
        <v>2574</v>
      </c>
    </row>
    <row r="687" spans="2:27">
      <c r="D687" s="45" t="s">
        <v>3581</v>
      </c>
      <c r="Z687" s="13" t="str">
        <f>Show!$B$157&amp;"S.27.01.04.27 Rows {"&amp;COLUMN($C$1)&amp;"}"&amp;"@ForceFilingCode:true"</f>
        <v>!S.27.01.04.27 Rows {3}@ForceFilingCode:true</v>
      </c>
      <c r="AA687" s="13" t="str">
        <f>Show!$B$157&amp;"S.27.01.04.27 Columns {"&amp;COLUMN($D$1)&amp;"}"</f>
        <v>!S.27.01.04.27 Columns {4}</v>
      </c>
    </row>
    <row r="688" spans="2:27">
      <c r="B688" s="43" t="s">
        <v>2880</v>
      </c>
      <c r="C688" s="44" t="s">
        <v>2878</v>
      </c>
      <c r="D688" s="46"/>
    </row>
    <row r="689" spans="2:27">
      <c r="B689" s="47" t="s">
        <v>5538</v>
      </c>
      <c r="C689" s="41" t="s">
        <v>4601</v>
      </c>
      <c r="D689" s="51"/>
    </row>
    <row r="690" spans="2:27">
      <c r="B690" s="47" t="s">
        <v>5539</v>
      </c>
      <c r="C690" s="41" t="s">
        <v>5540</v>
      </c>
      <c r="D690" s="51"/>
    </row>
    <row r="692" spans="2:27">
      <c r="Z692" s="13" t="str">
        <f>Show!$B$157&amp;Show!$B$157&amp;"S.27.01.04.27 Rows {"&amp;COLUMN($C$1)&amp;"}"</f>
        <v>!!S.27.01.04.27 Rows {3}</v>
      </c>
      <c r="AA692" s="13" t="str">
        <f>Show!$B$157&amp;Show!$B$157&amp;"S.27.01.04.27 Columns {"&amp;COLUMN($D$1)&amp;"}"</f>
        <v>!!S.27.01.04.27 Columns {4}</v>
      </c>
    </row>
    <row r="694" spans="2:27" ht="18.75">
      <c r="B694" s="88" t="s">
        <v>5573</v>
      </c>
      <c r="C694" s="87"/>
      <c r="D694" s="87"/>
      <c r="E694" s="87"/>
      <c r="F694" s="87"/>
      <c r="G694" s="87"/>
      <c r="H694" s="87"/>
      <c r="I694" s="87"/>
      <c r="J694" s="87"/>
      <c r="K694" s="87"/>
      <c r="L694" s="87"/>
    </row>
    <row r="698" spans="2:27">
      <c r="D698" s="89" t="s">
        <v>2877</v>
      </c>
    </row>
    <row r="699" spans="2:27">
      <c r="D699" s="91"/>
    </row>
    <row r="700" spans="2:27">
      <c r="D700" s="55" t="s">
        <v>5542</v>
      </c>
    </row>
    <row r="701" spans="2:27">
      <c r="D701" s="45" t="s">
        <v>5543</v>
      </c>
      <c r="Z701" s="13" t="str">
        <f>Show!$B$157&amp;"S.27.01.04.28 Rows {"&amp;COLUMN($C$1)&amp;"}"&amp;"@ForceFilingCode:true"</f>
        <v>!S.27.01.04.28 Rows {3}@ForceFilingCode:true</v>
      </c>
      <c r="AA701" s="13" t="str">
        <f>Show!$B$157&amp;"S.27.01.04.28 Columns {"&amp;COLUMN($D$1)&amp;"}"</f>
        <v>!S.27.01.04.28 Columns {4}</v>
      </c>
    </row>
    <row r="702" spans="2:27">
      <c r="B702" s="43" t="s">
        <v>2880</v>
      </c>
      <c r="C702" s="44" t="s">
        <v>2878</v>
      </c>
      <c r="D702" s="46"/>
    </row>
    <row r="703" spans="2:27">
      <c r="B703" s="47" t="s">
        <v>5544</v>
      </c>
      <c r="C703" s="41" t="s">
        <v>5545</v>
      </c>
      <c r="D703" s="50"/>
    </row>
    <row r="705" spans="26:27">
      <c r="Z705" s="13" t="str">
        <f>Show!$B$157&amp;Show!$B$157&amp;"S.27.01.04.28 Rows {"&amp;COLUMN($C$1)&amp;"}"</f>
        <v>!!S.27.01.04.28 Rows {3}</v>
      </c>
      <c r="AA705" s="13" t="str">
        <f>Show!$B$157&amp;Show!$B$157&amp;"S.27.01.04.28 Columns {"&amp;COLUMN($D$1)&amp;"}"</f>
        <v>!!S.27.01.04.28 Columns {4}</v>
      </c>
    </row>
  </sheetData>
  <sheetProtection sheet="1" objects="1" scenarios="1"/>
  <mergeCells count="160">
    <mergeCell ref="B2:O2"/>
    <mergeCell ref="B5:L5"/>
    <mergeCell ref="D9:F10"/>
    <mergeCell ref="D11:D13"/>
    <mergeCell ref="E11:E13"/>
    <mergeCell ref="F11:F13"/>
    <mergeCell ref="B47:L47"/>
    <mergeCell ref="D51:L52"/>
    <mergeCell ref="D53:D54"/>
    <mergeCell ref="E53:E54"/>
    <mergeCell ref="F53:F54"/>
    <mergeCell ref="G53:G54"/>
    <mergeCell ref="H53:H54"/>
    <mergeCell ref="I53:I54"/>
    <mergeCell ref="J53:J54"/>
    <mergeCell ref="K53:K54"/>
    <mergeCell ref="L53:L54"/>
    <mergeCell ref="B107:L107"/>
    <mergeCell ref="D111:K112"/>
    <mergeCell ref="D113:D114"/>
    <mergeCell ref="E113:E114"/>
    <mergeCell ref="F113:F114"/>
    <mergeCell ref="G113:G114"/>
    <mergeCell ref="H113:H114"/>
    <mergeCell ref="I113:I114"/>
    <mergeCell ref="J113:J114"/>
    <mergeCell ref="K113:K114"/>
    <mergeCell ref="B164:L164"/>
    <mergeCell ref="D168:L169"/>
    <mergeCell ref="D170:D171"/>
    <mergeCell ref="E170:E171"/>
    <mergeCell ref="F170:F171"/>
    <mergeCell ref="G170:G171"/>
    <mergeCell ref="H170:H171"/>
    <mergeCell ref="I170:I171"/>
    <mergeCell ref="J170:J171"/>
    <mergeCell ref="K170:K171"/>
    <mergeCell ref="L170:L171"/>
    <mergeCell ref="B215:L215"/>
    <mergeCell ref="D219:L220"/>
    <mergeCell ref="D221:D222"/>
    <mergeCell ref="E221:E222"/>
    <mergeCell ref="F221:F222"/>
    <mergeCell ref="G221:G222"/>
    <mergeCell ref="H221:H222"/>
    <mergeCell ref="I221:I222"/>
    <mergeCell ref="I269:I270"/>
    <mergeCell ref="J269:J270"/>
    <mergeCell ref="K269:K270"/>
    <mergeCell ref="B280:L280"/>
    <mergeCell ref="D284:H285"/>
    <mergeCell ref="D286:H286"/>
    <mergeCell ref="J221:J222"/>
    <mergeCell ref="K221:K222"/>
    <mergeCell ref="L221:L222"/>
    <mergeCell ref="B263:L263"/>
    <mergeCell ref="D267:K268"/>
    <mergeCell ref="D269:D270"/>
    <mergeCell ref="E269:E270"/>
    <mergeCell ref="F269:F270"/>
    <mergeCell ref="G269:G270"/>
    <mergeCell ref="H269:H270"/>
    <mergeCell ref="D325:M326"/>
    <mergeCell ref="B334:L334"/>
    <mergeCell ref="D338:F339"/>
    <mergeCell ref="D340:F340"/>
    <mergeCell ref="B350:L350"/>
    <mergeCell ref="D354:I355"/>
    <mergeCell ref="B294:L294"/>
    <mergeCell ref="D298:I299"/>
    <mergeCell ref="D300:I300"/>
    <mergeCell ref="B308:L308"/>
    <mergeCell ref="D312:K313"/>
    <mergeCell ref="B321:L321"/>
    <mergeCell ref="D384:J384"/>
    <mergeCell ref="B397:L397"/>
    <mergeCell ref="D401:F402"/>
    <mergeCell ref="D403:F403"/>
    <mergeCell ref="B413:L413"/>
    <mergeCell ref="D417:I418"/>
    <mergeCell ref="D356:I356"/>
    <mergeCell ref="B364:L364"/>
    <mergeCell ref="D368:G369"/>
    <mergeCell ref="D370:G370"/>
    <mergeCell ref="B378:L378"/>
    <mergeCell ref="D382:J383"/>
    <mergeCell ref="D449:F449"/>
    <mergeCell ref="B459:L459"/>
    <mergeCell ref="D463:G464"/>
    <mergeCell ref="D465:G465"/>
    <mergeCell ref="B480:L480"/>
    <mergeCell ref="D484:O485"/>
    <mergeCell ref="D419:I419"/>
    <mergeCell ref="B429:L429"/>
    <mergeCell ref="D433:H434"/>
    <mergeCell ref="D435:H435"/>
    <mergeCell ref="B443:L443"/>
    <mergeCell ref="D447:F448"/>
    <mergeCell ref="B573:L573"/>
    <mergeCell ref="D577:P578"/>
    <mergeCell ref="D579:E579"/>
    <mergeCell ref="F579:L579"/>
    <mergeCell ref="M579:M580"/>
    <mergeCell ref="N579:N580"/>
    <mergeCell ref="O579:O580"/>
    <mergeCell ref="P579:P580"/>
    <mergeCell ref="N486:N487"/>
    <mergeCell ref="O486:O487"/>
    <mergeCell ref="B528:L528"/>
    <mergeCell ref="D532:L533"/>
    <mergeCell ref="D534:D535"/>
    <mergeCell ref="E534:H534"/>
    <mergeCell ref="I534:I535"/>
    <mergeCell ref="J534:J535"/>
    <mergeCell ref="K534:K535"/>
    <mergeCell ref="L534:L535"/>
    <mergeCell ref="D486:E486"/>
    <mergeCell ref="F486:G486"/>
    <mergeCell ref="H486:I486"/>
    <mergeCell ref="J486:K486"/>
    <mergeCell ref="L486:L487"/>
    <mergeCell ref="M486:M487"/>
    <mergeCell ref="B618:L618"/>
    <mergeCell ref="D622:D625"/>
    <mergeCell ref="E622:M623"/>
    <mergeCell ref="E624:E625"/>
    <mergeCell ref="F624:I624"/>
    <mergeCell ref="J624:J625"/>
    <mergeCell ref="K624:K625"/>
    <mergeCell ref="L624:L625"/>
    <mergeCell ref="M624:M625"/>
    <mergeCell ref="B648:L648"/>
    <mergeCell ref="D652:P653"/>
    <mergeCell ref="D654:E654"/>
    <mergeCell ref="F654:L654"/>
    <mergeCell ref="M654:M655"/>
    <mergeCell ref="N654:N655"/>
    <mergeCell ref="O654:O655"/>
    <mergeCell ref="P654:P655"/>
    <mergeCell ref="B633:L633"/>
    <mergeCell ref="D637:D640"/>
    <mergeCell ref="E637:Q638"/>
    <mergeCell ref="E639:F639"/>
    <mergeCell ref="G639:M639"/>
    <mergeCell ref="N639:N640"/>
    <mergeCell ref="O639:O640"/>
    <mergeCell ref="P639:P640"/>
    <mergeCell ref="Q639:Q640"/>
    <mergeCell ref="B680:L680"/>
    <mergeCell ref="D684:D685"/>
    <mergeCell ref="B694:L694"/>
    <mergeCell ref="D698:D699"/>
    <mergeCell ref="B663:L663"/>
    <mergeCell ref="D667:L668"/>
    <mergeCell ref="D669:D670"/>
    <mergeCell ref="E669:H669"/>
    <mergeCell ref="I669:I670"/>
    <mergeCell ref="J669:J670"/>
    <mergeCell ref="K669:K670"/>
    <mergeCell ref="L669:L670"/>
  </mergeCells>
  <dataValidations count="3">
    <dataValidation type="list" errorStyle="warning" allowBlank="1" showInputMessage="1" showErrorMessage="1" sqref="H58 H59 H60 H61 H62 H63 H64 H65 H66 H67 H68 H69 H70 H71 H72 H73 H74 H75 H76 H77 H78 H79 H80 H175 H176 H177 H178 H179 H180 H181 H182 H183 H184 H185 H186 H187 H188 H226 H227 H228 H229 H230 H231 H232 H233 H234 H235 H236" xr:uid="{B8310D89-A8D1-477C-AADE-A9F1679B5F67}">
      <formula1>hier_RT_10</formula1>
    </dataValidation>
    <dataValidation type="list" errorStyle="warning" allowBlank="1" showInputMessage="1" showErrorMessage="1" sqref="D629 D644" xr:uid="{22DFA8CF-680B-47C6-94E7-77C1F12E205F}">
      <formula1>hier_GA_36</formula1>
    </dataValidation>
    <dataValidation type="list" errorStyle="warning" allowBlank="1" showInputMessage="1" showErrorMessage="1" sqref="D689" xr:uid="{0FC69ED2-18F2-4017-A327-4BC4F852BD6F}">
      <formula1>hier_AP_28</formula1>
    </dataValidation>
  </dataValidations>
  <pageMargins left="0.7" right="0.7" top="0.75" bottom="0.75" header="0.3" footer="0.3"/>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0756E-C141-4F15-A143-8EF99D73D2C5}">
  <sheetPr codeName="Blad162"/>
  <dimension ref="B2:AA817"/>
  <sheetViews>
    <sheetView showGridLines="0" workbookViewId="0"/>
  </sheetViews>
  <sheetFormatPr defaultRowHeight="15"/>
  <cols>
    <col min="2" max="2" width="82.28515625" bestFit="1" customWidth="1"/>
    <col min="4" max="17" width="15.7109375" customWidth="1"/>
  </cols>
  <sheetData>
    <row r="2" spans="2:27" ht="23.25">
      <c r="B2" s="86" t="s">
        <v>742</v>
      </c>
      <c r="C2" s="87"/>
      <c r="D2" s="87"/>
      <c r="E2" s="87"/>
      <c r="F2" s="87"/>
      <c r="G2" s="87"/>
      <c r="H2" s="87"/>
      <c r="I2" s="87"/>
      <c r="J2" s="87"/>
      <c r="K2" s="87"/>
      <c r="L2" s="87"/>
      <c r="M2" s="87"/>
      <c r="N2" s="87"/>
      <c r="O2" s="87"/>
    </row>
    <row r="5" spans="2:27" ht="18.75">
      <c r="B5" s="88" t="s">
        <v>5574</v>
      </c>
      <c r="C5" s="87"/>
      <c r="D5" s="87"/>
      <c r="E5" s="87"/>
      <c r="F5" s="87"/>
      <c r="G5" s="87"/>
      <c r="H5" s="87"/>
      <c r="I5" s="87"/>
      <c r="J5" s="87"/>
      <c r="K5" s="87"/>
      <c r="L5" s="87"/>
    </row>
    <row r="7" spans="2:27">
      <c r="B7" t="s">
        <v>3110</v>
      </c>
      <c r="Z7" s="13" t="str">
        <f>Show!$B$158&amp;"SR.27.01.01.01 Table label {"&amp;COLUMN($C$1)&amp;"}"</f>
        <v>!SR.27.01.01.01 Table label {3}</v>
      </c>
      <c r="AA7" s="13" t="str">
        <f>Show!$B$158&amp;"SR.27.01.01.01 Table value {"&amp;COLUMN($D$1)&amp;"}"</f>
        <v>!SR.27.01.01.01 Table value {4}</v>
      </c>
    </row>
    <row r="8" spans="2:27">
      <c r="B8" t="s">
        <v>3111</v>
      </c>
    </row>
    <row r="9" spans="2:27">
      <c r="B9" s="40" t="s">
        <v>3788</v>
      </c>
      <c r="C9" s="53" t="s">
        <v>3115</v>
      </c>
      <c r="D9" s="51"/>
    </row>
    <row r="10" spans="2:27">
      <c r="B10" s="40" t="s">
        <v>3114</v>
      </c>
      <c r="C10" s="53" t="s">
        <v>3323</v>
      </c>
      <c r="D10" s="50"/>
    </row>
    <row r="11" spans="2:27">
      <c r="Z11" s="13" t="str">
        <f>Show!$B$158&amp;Show!$B$158&amp;"SR.27.01.01.01 Table label {"&amp;COLUMN($C$1)&amp;"}"</f>
        <v>!!SR.27.01.01.01 Table label {3}</v>
      </c>
      <c r="AA11" s="13" t="str">
        <f>Show!$B$158&amp;Show!$B$158&amp;"SR.27.01.01.01 Table value {"&amp;COLUMN($D$1)&amp;"}"</f>
        <v>!!SR.27.01.01.01 Table value {4}</v>
      </c>
    </row>
    <row r="13" spans="2:27">
      <c r="D13" s="92" t="s">
        <v>2877</v>
      </c>
      <c r="E13" s="93"/>
      <c r="F13" s="94"/>
    </row>
    <row r="14" spans="2:27">
      <c r="D14" s="95"/>
      <c r="E14" s="96"/>
      <c r="F14" s="97"/>
    </row>
    <row r="15" spans="2:27">
      <c r="D15" s="89" t="s">
        <v>5091</v>
      </c>
      <c r="E15" s="89" t="s">
        <v>5092</v>
      </c>
      <c r="F15" s="89" t="s">
        <v>5093</v>
      </c>
    </row>
    <row r="16" spans="2:27">
      <c r="D16" s="90"/>
      <c r="E16" s="90"/>
      <c r="F16" s="90"/>
    </row>
    <row r="17" spans="2:27">
      <c r="D17" s="91"/>
      <c r="E17" s="91"/>
      <c r="F17" s="91"/>
    </row>
    <row r="18" spans="2:27">
      <c r="D18" s="45" t="s">
        <v>2879</v>
      </c>
      <c r="E18" s="45" t="s">
        <v>3219</v>
      </c>
      <c r="F18" s="45" t="s">
        <v>3225</v>
      </c>
      <c r="Z18" s="13" t="str">
        <f>Show!$B$158&amp;"SR.27.01.01.01 Rows {"&amp;COLUMN($C$1)&amp;"}"&amp;"@ForceFilingCode:true"</f>
        <v>!SR.27.01.01.01 Rows {3}@ForceFilingCode:true</v>
      </c>
      <c r="AA18" s="13" t="str">
        <f>Show!$B$158&amp;"SR.27.01.01.01 Columns {"&amp;COLUMN($D$1)&amp;"}"</f>
        <v>!SR.27.01.01.01 Columns {4}</v>
      </c>
    </row>
    <row r="19" spans="2:27">
      <c r="B19" s="43" t="s">
        <v>2880</v>
      </c>
      <c r="C19" s="44" t="s">
        <v>2878</v>
      </c>
      <c r="D19" s="58"/>
      <c r="E19" s="67"/>
      <c r="F19" s="59"/>
    </row>
    <row r="20" spans="2:27">
      <c r="B20" s="47" t="s">
        <v>5094</v>
      </c>
      <c r="C20" s="44" t="s">
        <v>2878</v>
      </c>
      <c r="D20" s="56"/>
      <c r="E20" s="66"/>
      <c r="F20" s="57"/>
    </row>
    <row r="21" spans="2:27">
      <c r="B21" s="49" t="s">
        <v>5095</v>
      </c>
      <c r="C21" s="41" t="s">
        <v>2883</v>
      </c>
      <c r="D21" s="60"/>
      <c r="E21" s="60"/>
      <c r="F21" s="60"/>
    </row>
    <row r="22" spans="2:27">
      <c r="B22" s="61" t="s">
        <v>5073</v>
      </c>
      <c r="C22" s="41" t="s">
        <v>2885</v>
      </c>
      <c r="D22" s="60"/>
      <c r="E22" s="60"/>
      <c r="F22" s="60"/>
    </row>
    <row r="23" spans="2:27">
      <c r="B23" s="61" t="s">
        <v>5075</v>
      </c>
      <c r="C23" s="41" t="s">
        <v>2887</v>
      </c>
      <c r="D23" s="60"/>
      <c r="E23" s="60"/>
      <c r="F23" s="60"/>
    </row>
    <row r="24" spans="2:27">
      <c r="B24" s="61" t="s">
        <v>5076</v>
      </c>
      <c r="C24" s="41" t="s">
        <v>2889</v>
      </c>
      <c r="D24" s="60"/>
      <c r="E24" s="60"/>
      <c r="F24" s="60"/>
    </row>
    <row r="25" spans="2:27">
      <c r="B25" s="61" t="s">
        <v>5074</v>
      </c>
      <c r="C25" s="41" t="s">
        <v>3078</v>
      </c>
      <c r="D25" s="60"/>
      <c r="E25" s="60"/>
      <c r="F25" s="60"/>
    </row>
    <row r="26" spans="2:27">
      <c r="B26" s="61" t="s">
        <v>5077</v>
      </c>
      <c r="C26" s="41" t="s">
        <v>2891</v>
      </c>
      <c r="D26" s="60"/>
      <c r="E26" s="60"/>
      <c r="F26" s="60"/>
    </row>
    <row r="27" spans="2:27">
      <c r="B27" s="61" t="s">
        <v>5096</v>
      </c>
      <c r="C27" s="41" t="s">
        <v>2893</v>
      </c>
      <c r="D27" s="60"/>
      <c r="E27" s="60"/>
      <c r="F27" s="60"/>
    </row>
    <row r="28" spans="2:27">
      <c r="B28" s="49" t="s">
        <v>5097</v>
      </c>
      <c r="C28" s="41" t="s">
        <v>2895</v>
      </c>
      <c r="D28" s="60"/>
      <c r="E28" s="60"/>
      <c r="F28" s="60"/>
    </row>
    <row r="29" spans="2:27">
      <c r="B29" s="49" t="s">
        <v>5098</v>
      </c>
      <c r="C29" s="41" t="s">
        <v>2897</v>
      </c>
      <c r="D29" s="60"/>
      <c r="E29" s="60"/>
      <c r="F29" s="60"/>
    </row>
    <row r="30" spans="2:27">
      <c r="B30" s="61" t="s">
        <v>4988</v>
      </c>
      <c r="C30" s="41" t="s">
        <v>2899</v>
      </c>
      <c r="D30" s="60"/>
      <c r="E30" s="60"/>
      <c r="F30" s="60"/>
    </row>
    <row r="31" spans="2:27">
      <c r="B31" s="61" t="s">
        <v>5099</v>
      </c>
      <c r="C31" s="41" t="s">
        <v>2901</v>
      </c>
      <c r="D31" s="60"/>
      <c r="E31" s="60"/>
      <c r="F31" s="60"/>
    </row>
    <row r="32" spans="2:27">
      <c r="B32" s="61" t="s">
        <v>5100</v>
      </c>
      <c r="C32" s="41" t="s">
        <v>2903</v>
      </c>
      <c r="D32" s="60"/>
      <c r="E32" s="60"/>
      <c r="F32" s="60"/>
    </row>
    <row r="33" spans="2:6">
      <c r="B33" s="61" t="s">
        <v>5101</v>
      </c>
      <c r="C33" s="41" t="s">
        <v>2905</v>
      </c>
      <c r="D33" s="60"/>
      <c r="E33" s="60"/>
      <c r="F33" s="60"/>
    </row>
    <row r="34" spans="2:6">
      <c r="B34" s="61" t="s">
        <v>5102</v>
      </c>
      <c r="C34" s="41" t="s">
        <v>2907</v>
      </c>
      <c r="D34" s="60"/>
      <c r="E34" s="60"/>
      <c r="F34" s="60"/>
    </row>
    <row r="35" spans="2:6">
      <c r="B35" s="61" t="s">
        <v>5103</v>
      </c>
      <c r="C35" s="41" t="s">
        <v>2909</v>
      </c>
      <c r="D35" s="60"/>
      <c r="E35" s="60"/>
      <c r="F35" s="60"/>
    </row>
    <row r="36" spans="2:6">
      <c r="B36" s="61" t="s">
        <v>5096</v>
      </c>
      <c r="C36" s="41" t="s">
        <v>2911</v>
      </c>
      <c r="D36" s="60"/>
      <c r="E36" s="60"/>
      <c r="F36" s="60"/>
    </row>
    <row r="37" spans="2:6">
      <c r="B37" s="49" t="s">
        <v>5104</v>
      </c>
      <c r="C37" s="41" t="s">
        <v>2913</v>
      </c>
      <c r="D37" s="60"/>
      <c r="E37" s="60"/>
      <c r="F37" s="60"/>
    </row>
    <row r="38" spans="2:6">
      <c r="B38" s="61" t="s">
        <v>5096</v>
      </c>
      <c r="C38" s="41" t="s">
        <v>2915</v>
      </c>
      <c r="D38" s="60"/>
      <c r="E38" s="60"/>
      <c r="F38" s="60"/>
    </row>
    <row r="39" spans="2:6">
      <c r="B39" s="49" t="s">
        <v>5105</v>
      </c>
      <c r="C39" s="41" t="s">
        <v>2917</v>
      </c>
      <c r="D39" s="60"/>
      <c r="E39" s="60"/>
      <c r="F39" s="60"/>
    </row>
    <row r="40" spans="2:6">
      <c r="B40" s="61" t="s">
        <v>5106</v>
      </c>
      <c r="C40" s="41" t="s">
        <v>2919</v>
      </c>
      <c r="D40" s="60"/>
      <c r="E40" s="60"/>
      <c r="F40" s="60"/>
    </row>
    <row r="41" spans="2:6">
      <c r="B41" s="49" t="s">
        <v>5107</v>
      </c>
      <c r="C41" s="41" t="s">
        <v>2921</v>
      </c>
      <c r="D41" s="63"/>
      <c r="E41" s="63"/>
      <c r="F41" s="63"/>
    </row>
    <row r="42" spans="2:6">
      <c r="B42" s="47" t="s">
        <v>5108</v>
      </c>
      <c r="C42" s="44" t="s">
        <v>2878</v>
      </c>
      <c r="D42" s="56"/>
      <c r="E42" s="66"/>
      <c r="F42" s="57"/>
    </row>
    <row r="43" spans="2:6">
      <c r="B43" s="49" t="s">
        <v>5109</v>
      </c>
      <c r="C43" s="41" t="s">
        <v>2939</v>
      </c>
      <c r="D43" s="60"/>
      <c r="E43" s="60"/>
      <c r="F43" s="60"/>
    </row>
    <row r="44" spans="2:6">
      <c r="B44" s="61" t="s">
        <v>5110</v>
      </c>
      <c r="C44" s="41" t="s">
        <v>2941</v>
      </c>
      <c r="D44" s="60"/>
      <c r="E44" s="60"/>
      <c r="F44" s="60"/>
    </row>
    <row r="45" spans="2:6">
      <c r="B45" s="61" t="s">
        <v>5111</v>
      </c>
      <c r="C45" s="41" t="s">
        <v>2943</v>
      </c>
      <c r="D45" s="60"/>
      <c r="E45" s="60"/>
      <c r="F45" s="60"/>
    </row>
    <row r="46" spans="2:6">
      <c r="B46" s="61" t="s">
        <v>5112</v>
      </c>
      <c r="C46" s="41" t="s">
        <v>2945</v>
      </c>
      <c r="D46" s="60"/>
      <c r="E46" s="60"/>
      <c r="F46" s="60"/>
    </row>
    <row r="47" spans="2:6">
      <c r="B47" s="61" t="s">
        <v>5106</v>
      </c>
      <c r="C47" s="41" t="s">
        <v>2947</v>
      </c>
      <c r="D47" s="60"/>
      <c r="E47" s="60"/>
      <c r="F47" s="60"/>
    </row>
    <row r="49" spans="2:27">
      <c r="Z49" s="13" t="str">
        <f>Show!$B$158&amp;Show!$B$158&amp;"SR.27.01.01.01 Rows {"&amp;COLUMN($C$1)&amp;"}"</f>
        <v>!!SR.27.01.01.01 Rows {3}</v>
      </c>
      <c r="AA49" s="13" t="str">
        <f>Show!$B$158&amp;Show!$B$158&amp;"SR.27.01.01.01 Columns {"&amp;COLUMN($F$1)&amp;"}"</f>
        <v>!!SR.27.01.01.01 Columns {6}</v>
      </c>
    </row>
    <row r="51" spans="2:27" ht="18.75">
      <c r="B51" s="88" t="s">
        <v>5575</v>
      </c>
      <c r="C51" s="87"/>
      <c r="D51" s="87"/>
      <c r="E51" s="87"/>
      <c r="F51" s="87"/>
      <c r="G51" s="87"/>
      <c r="H51" s="87"/>
      <c r="I51" s="87"/>
      <c r="J51" s="87"/>
      <c r="K51" s="87"/>
      <c r="L51" s="87"/>
    </row>
    <row r="53" spans="2:27">
      <c r="B53" t="s">
        <v>3110</v>
      </c>
      <c r="Z53" s="13" t="str">
        <f>Show!$B$158&amp;"SR.27.01.01.02 Table label {"&amp;COLUMN($C$1)&amp;"}"</f>
        <v>!SR.27.01.01.02 Table label {3}</v>
      </c>
      <c r="AA53" s="13" t="str">
        <f>Show!$B$158&amp;"SR.27.01.01.02 Table value {"&amp;COLUMN($D$1)&amp;"}"</f>
        <v>!SR.27.01.01.02 Table value {4}</v>
      </c>
    </row>
    <row r="54" spans="2:27">
      <c r="B54" t="s">
        <v>3111</v>
      </c>
    </row>
    <row r="55" spans="2:27">
      <c r="B55" s="40" t="s">
        <v>3788</v>
      </c>
      <c r="C55" s="53" t="s">
        <v>3115</v>
      </c>
      <c r="D55" s="51"/>
    </row>
    <row r="56" spans="2:27">
      <c r="B56" s="40" t="s">
        <v>3114</v>
      </c>
      <c r="C56" s="53" t="s">
        <v>3323</v>
      </c>
      <c r="D56" s="50"/>
    </row>
    <row r="57" spans="2:27">
      <c r="Z57" s="13" t="str">
        <f>Show!$B$158&amp;Show!$B$158&amp;"SR.27.01.01.02 Table label {"&amp;COLUMN($C$1)&amp;"}"</f>
        <v>!!SR.27.01.01.02 Table label {3}</v>
      </c>
      <c r="AA57" s="13" t="str">
        <f>Show!$B$158&amp;Show!$B$158&amp;"SR.27.01.01.02 Table value {"&amp;COLUMN($D$1)&amp;"}"</f>
        <v>!!SR.27.01.01.02 Table value {4}</v>
      </c>
    </row>
    <row r="59" spans="2:27">
      <c r="D59" s="92" t="s">
        <v>2877</v>
      </c>
      <c r="E59" s="93"/>
      <c r="F59" s="93"/>
      <c r="G59" s="93"/>
      <c r="H59" s="93"/>
      <c r="I59" s="93"/>
      <c r="J59" s="93"/>
      <c r="K59" s="93"/>
      <c r="L59" s="94"/>
    </row>
    <row r="60" spans="2:27">
      <c r="D60" s="95"/>
      <c r="E60" s="96"/>
      <c r="F60" s="96"/>
      <c r="G60" s="96"/>
      <c r="H60" s="96"/>
      <c r="I60" s="96"/>
      <c r="J60" s="96"/>
      <c r="K60" s="96"/>
      <c r="L60" s="97"/>
    </row>
    <row r="61" spans="2:27">
      <c r="D61" s="89" t="s">
        <v>5114</v>
      </c>
      <c r="E61" s="89" t="s">
        <v>5115</v>
      </c>
      <c r="F61" s="89" t="s">
        <v>5116</v>
      </c>
      <c r="G61" s="89" t="s">
        <v>5117</v>
      </c>
      <c r="H61" s="89" t="s">
        <v>5118</v>
      </c>
      <c r="I61" s="89" t="s">
        <v>5119</v>
      </c>
      <c r="J61" s="89" t="s">
        <v>5120</v>
      </c>
      <c r="K61" s="89" t="s">
        <v>5121</v>
      </c>
      <c r="L61" s="89" t="s">
        <v>5122</v>
      </c>
    </row>
    <row r="62" spans="2:27">
      <c r="D62" s="91"/>
      <c r="E62" s="91"/>
      <c r="F62" s="91"/>
      <c r="G62" s="91"/>
      <c r="H62" s="91"/>
      <c r="I62" s="91"/>
      <c r="J62" s="91"/>
      <c r="K62" s="91"/>
      <c r="L62" s="91"/>
    </row>
    <row r="63" spans="2:27">
      <c r="D63" s="45" t="s">
        <v>3223</v>
      </c>
      <c r="E63" s="45" t="s">
        <v>3229</v>
      </c>
      <c r="F63" s="45" t="s">
        <v>3231</v>
      </c>
      <c r="G63" s="45" t="s">
        <v>3233</v>
      </c>
      <c r="H63" s="45" t="s">
        <v>3234</v>
      </c>
      <c r="I63" s="45" t="s">
        <v>3236</v>
      </c>
      <c r="J63" s="45" t="s">
        <v>3239</v>
      </c>
      <c r="K63" s="45" t="s">
        <v>3241</v>
      </c>
      <c r="L63" s="45" t="s">
        <v>3243</v>
      </c>
      <c r="Z63" s="13" t="str">
        <f>Show!$B$158&amp;"SR.27.01.01.02 Rows {"&amp;COLUMN($C$1)&amp;"}"&amp;"@ForceFilingCode:true"</f>
        <v>!SR.27.01.01.02 Rows {3}@ForceFilingCode:true</v>
      </c>
      <c r="AA63" s="13" t="str">
        <f>Show!$B$158&amp;"SR.27.01.01.02 Columns {"&amp;COLUMN($D$1)&amp;"}"</f>
        <v>!SR.27.01.01.02 Columns {4}</v>
      </c>
    </row>
    <row r="64" spans="2:27">
      <c r="B64" s="43" t="s">
        <v>2880</v>
      </c>
      <c r="C64" s="44" t="s">
        <v>2878</v>
      </c>
      <c r="D64" s="58"/>
      <c r="E64" s="67"/>
      <c r="F64" s="67"/>
      <c r="G64" s="67"/>
      <c r="H64" s="67"/>
      <c r="I64" s="67"/>
      <c r="J64" s="67"/>
      <c r="K64" s="67"/>
      <c r="L64" s="59"/>
    </row>
    <row r="65" spans="2:12">
      <c r="B65" s="47" t="s">
        <v>5123</v>
      </c>
      <c r="C65" s="44" t="s">
        <v>2878</v>
      </c>
      <c r="D65" s="58"/>
      <c r="E65" s="66"/>
      <c r="F65" s="66"/>
      <c r="G65" s="66"/>
      <c r="H65" s="66"/>
      <c r="I65" s="66"/>
      <c r="J65" s="66"/>
      <c r="K65" s="66"/>
      <c r="L65" s="57"/>
    </row>
    <row r="66" spans="2:12">
      <c r="B66" s="49" t="s">
        <v>5124</v>
      </c>
      <c r="C66" s="44" t="s">
        <v>2959</v>
      </c>
      <c r="D66" s="48"/>
      <c r="E66" s="60"/>
      <c r="F66" s="60"/>
      <c r="G66" s="70"/>
      <c r="H66" s="51"/>
      <c r="I66" s="60"/>
      <c r="J66" s="60"/>
      <c r="K66" s="60"/>
      <c r="L66" s="60"/>
    </row>
    <row r="67" spans="2:12">
      <c r="B67" s="49" t="s">
        <v>5125</v>
      </c>
      <c r="C67" s="44" t="s">
        <v>2961</v>
      </c>
      <c r="D67" s="48"/>
      <c r="E67" s="60"/>
      <c r="F67" s="60"/>
      <c r="G67" s="70"/>
      <c r="H67" s="51"/>
      <c r="I67" s="60"/>
      <c r="J67" s="60"/>
      <c r="K67" s="60"/>
      <c r="L67" s="60"/>
    </row>
    <row r="68" spans="2:12">
      <c r="B68" s="49" t="s">
        <v>5126</v>
      </c>
      <c r="C68" s="44" t="s">
        <v>2963</v>
      </c>
      <c r="D68" s="48"/>
      <c r="E68" s="60"/>
      <c r="F68" s="60"/>
      <c r="G68" s="70"/>
      <c r="H68" s="51"/>
      <c r="I68" s="60"/>
      <c r="J68" s="60"/>
      <c r="K68" s="60"/>
      <c r="L68" s="60"/>
    </row>
    <row r="69" spans="2:12">
      <c r="B69" s="49" t="s">
        <v>5127</v>
      </c>
      <c r="C69" s="44" t="s">
        <v>2965</v>
      </c>
      <c r="D69" s="48"/>
      <c r="E69" s="60"/>
      <c r="F69" s="60"/>
      <c r="G69" s="70"/>
      <c r="H69" s="51"/>
      <c r="I69" s="60"/>
      <c r="J69" s="60"/>
      <c r="K69" s="60"/>
      <c r="L69" s="60"/>
    </row>
    <row r="70" spans="2:12">
      <c r="B70" s="49" t="s">
        <v>5128</v>
      </c>
      <c r="C70" s="44" t="s">
        <v>2967</v>
      </c>
      <c r="D70" s="48"/>
      <c r="E70" s="60"/>
      <c r="F70" s="60"/>
      <c r="G70" s="70"/>
      <c r="H70" s="51"/>
      <c r="I70" s="60"/>
      <c r="J70" s="60"/>
      <c r="K70" s="60"/>
      <c r="L70" s="60"/>
    </row>
    <row r="71" spans="2:12">
      <c r="B71" s="49" t="s">
        <v>5129</v>
      </c>
      <c r="C71" s="44" t="s">
        <v>5130</v>
      </c>
      <c r="D71" s="48"/>
      <c r="E71" s="60"/>
      <c r="F71" s="60"/>
      <c r="G71" s="70"/>
      <c r="H71" s="51"/>
      <c r="I71" s="60"/>
      <c r="J71" s="60"/>
      <c r="K71" s="60"/>
      <c r="L71" s="60"/>
    </row>
    <row r="72" spans="2:12" ht="30">
      <c r="B72" s="49" t="s">
        <v>5131</v>
      </c>
      <c r="C72" s="44" t="s">
        <v>2969</v>
      </c>
      <c r="D72" s="48"/>
      <c r="E72" s="60"/>
      <c r="F72" s="60"/>
      <c r="G72" s="70"/>
      <c r="H72" s="51"/>
      <c r="I72" s="60"/>
      <c r="J72" s="60"/>
      <c r="K72" s="60"/>
      <c r="L72" s="60"/>
    </row>
    <row r="73" spans="2:12">
      <c r="B73" s="49" t="s">
        <v>5132</v>
      </c>
      <c r="C73" s="44" t="s">
        <v>2971</v>
      </c>
      <c r="D73" s="48"/>
      <c r="E73" s="60"/>
      <c r="F73" s="60"/>
      <c r="G73" s="70"/>
      <c r="H73" s="51"/>
      <c r="I73" s="60"/>
      <c r="J73" s="60"/>
      <c r="K73" s="60"/>
      <c r="L73" s="60"/>
    </row>
    <row r="74" spans="2:12">
      <c r="B74" s="49" t="s">
        <v>5133</v>
      </c>
      <c r="C74" s="44" t="s">
        <v>4815</v>
      </c>
      <c r="D74" s="48"/>
      <c r="E74" s="60"/>
      <c r="F74" s="60"/>
      <c r="G74" s="70"/>
      <c r="H74" s="51"/>
      <c r="I74" s="60"/>
      <c r="J74" s="60"/>
      <c r="K74" s="60"/>
      <c r="L74" s="60"/>
    </row>
    <row r="75" spans="2:12">
      <c r="B75" s="49" t="s">
        <v>5134</v>
      </c>
      <c r="C75" s="44" t="s">
        <v>2973</v>
      </c>
      <c r="D75" s="48"/>
      <c r="E75" s="60"/>
      <c r="F75" s="60"/>
      <c r="G75" s="70"/>
      <c r="H75" s="51"/>
      <c r="I75" s="60"/>
      <c r="J75" s="60"/>
      <c r="K75" s="60"/>
      <c r="L75" s="60"/>
    </row>
    <row r="76" spans="2:12">
      <c r="B76" s="49" t="s">
        <v>5135</v>
      </c>
      <c r="C76" s="44" t="s">
        <v>2975</v>
      </c>
      <c r="D76" s="48"/>
      <c r="E76" s="60"/>
      <c r="F76" s="60"/>
      <c r="G76" s="70"/>
      <c r="H76" s="51"/>
      <c r="I76" s="60"/>
      <c r="J76" s="60"/>
      <c r="K76" s="60"/>
      <c r="L76" s="60"/>
    </row>
    <row r="77" spans="2:12">
      <c r="B77" s="49" t="s">
        <v>5136</v>
      </c>
      <c r="C77" s="44" t="s">
        <v>3096</v>
      </c>
      <c r="D77" s="48"/>
      <c r="E77" s="60"/>
      <c r="F77" s="60"/>
      <c r="G77" s="70"/>
      <c r="H77" s="51"/>
      <c r="I77" s="60"/>
      <c r="J77" s="60"/>
      <c r="K77" s="60"/>
      <c r="L77" s="60"/>
    </row>
    <row r="78" spans="2:12">
      <c r="B78" s="49" t="s">
        <v>5137</v>
      </c>
      <c r="C78" s="44" t="s">
        <v>2977</v>
      </c>
      <c r="D78" s="48"/>
      <c r="E78" s="60"/>
      <c r="F78" s="60"/>
      <c r="G78" s="70"/>
      <c r="H78" s="51"/>
      <c r="I78" s="60"/>
      <c r="J78" s="60"/>
      <c r="K78" s="60"/>
      <c r="L78" s="60"/>
    </row>
    <row r="79" spans="2:12">
      <c r="B79" s="49" t="s">
        <v>5138</v>
      </c>
      <c r="C79" s="44" t="s">
        <v>2979</v>
      </c>
      <c r="D79" s="48"/>
      <c r="E79" s="60"/>
      <c r="F79" s="60"/>
      <c r="G79" s="70"/>
      <c r="H79" s="51"/>
      <c r="I79" s="60"/>
      <c r="J79" s="60"/>
      <c r="K79" s="60"/>
      <c r="L79" s="60"/>
    </row>
    <row r="80" spans="2:12">
      <c r="B80" s="49" t="s">
        <v>5139</v>
      </c>
      <c r="C80" s="44" t="s">
        <v>2981</v>
      </c>
      <c r="D80" s="48"/>
      <c r="E80" s="60"/>
      <c r="F80" s="60"/>
      <c r="G80" s="70"/>
      <c r="H80" s="51"/>
      <c r="I80" s="60"/>
      <c r="J80" s="60"/>
      <c r="K80" s="60"/>
      <c r="L80" s="60"/>
    </row>
    <row r="81" spans="2:12">
      <c r="B81" s="49" t="s">
        <v>5140</v>
      </c>
      <c r="C81" s="44" t="s">
        <v>5141</v>
      </c>
      <c r="D81" s="48"/>
      <c r="E81" s="60"/>
      <c r="F81" s="60"/>
      <c r="G81" s="70"/>
      <c r="H81" s="51"/>
      <c r="I81" s="60"/>
      <c r="J81" s="60"/>
      <c r="K81" s="60"/>
      <c r="L81" s="60"/>
    </row>
    <row r="82" spans="2:12">
      <c r="B82" s="49" t="s">
        <v>5142</v>
      </c>
      <c r="C82" s="44" t="s">
        <v>2983</v>
      </c>
      <c r="D82" s="48"/>
      <c r="E82" s="60"/>
      <c r="F82" s="60"/>
      <c r="G82" s="70"/>
      <c r="H82" s="51"/>
      <c r="I82" s="60"/>
      <c r="J82" s="60"/>
      <c r="K82" s="60"/>
      <c r="L82" s="60"/>
    </row>
    <row r="83" spans="2:12">
      <c r="B83" s="49" t="s">
        <v>5143</v>
      </c>
      <c r="C83" s="44" t="s">
        <v>2985</v>
      </c>
      <c r="D83" s="48"/>
      <c r="E83" s="60"/>
      <c r="F83" s="60"/>
      <c r="G83" s="70"/>
      <c r="H83" s="51"/>
      <c r="I83" s="60"/>
      <c r="J83" s="60"/>
      <c r="K83" s="60"/>
      <c r="L83" s="60"/>
    </row>
    <row r="84" spans="2:12">
      <c r="B84" s="49" t="s">
        <v>5144</v>
      </c>
      <c r="C84" s="44" t="s">
        <v>2987</v>
      </c>
      <c r="D84" s="48"/>
      <c r="E84" s="60"/>
      <c r="F84" s="60"/>
      <c r="G84" s="70"/>
      <c r="H84" s="51"/>
      <c r="I84" s="60"/>
      <c r="J84" s="60"/>
      <c r="K84" s="60"/>
      <c r="L84" s="60"/>
    </row>
    <row r="85" spans="2:12">
      <c r="B85" s="49" t="s">
        <v>5145</v>
      </c>
      <c r="C85" s="44" t="s">
        <v>2989</v>
      </c>
      <c r="D85" s="48"/>
      <c r="E85" s="60"/>
      <c r="F85" s="60"/>
      <c r="G85" s="70"/>
      <c r="H85" s="51"/>
      <c r="I85" s="60"/>
      <c r="J85" s="60"/>
      <c r="K85" s="60"/>
      <c r="L85" s="60"/>
    </row>
    <row r="86" spans="2:12">
      <c r="B86" s="49" t="s">
        <v>5146</v>
      </c>
      <c r="C86" s="44" t="s">
        <v>2991</v>
      </c>
      <c r="D86" s="48"/>
      <c r="E86" s="60"/>
      <c r="F86" s="60"/>
      <c r="G86" s="70"/>
      <c r="H86" s="51"/>
      <c r="I86" s="60"/>
      <c r="J86" s="60"/>
      <c r="K86" s="60"/>
      <c r="L86" s="60"/>
    </row>
    <row r="87" spans="2:12">
      <c r="B87" s="49" t="s">
        <v>5147</v>
      </c>
      <c r="C87" s="44" t="s">
        <v>2993</v>
      </c>
      <c r="D87" s="48"/>
      <c r="E87" s="60"/>
      <c r="F87" s="60"/>
      <c r="G87" s="70"/>
      <c r="H87" s="51"/>
      <c r="I87" s="60"/>
      <c r="J87" s="60"/>
      <c r="K87" s="60"/>
      <c r="L87" s="60"/>
    </row>
    <row r="88" spans="2:12">
      <c r="B88" s="49" t="s">
        <v>5148</v>
      </c>
      <c r="C88" s="44" t="s">
        <v>2995</v>
      </c>
      <c r="D88" s="48"/>
      <c r="E88" s="60"/>
      <c r="F88" s="60"/>
      <c r="G88" s="70"/>
      <c r="H88" s="68"/>
      <c r="I88" s="60"/>
      <c r="J88" s="60"/>
      <c r="K88" s="60"/>
      <c r="L88" s="60"/>
    </row>
    <row r="89" spans="2:12">
      <c r="B89" s="49" t="s">
        <v>5149</v>
      </c>
      <c r="C89" s="44" t="s">
        <v>2997</v>
      </c>
      <c r="D89" s="46"/>
      <c r="E89" s="63"/>
      <c r="F89" s="63"/>
      <c r="G89" s="78"/>
      <c r="H89" s="48"/>
      <c r="I89" s="63"/>
      <c r="J89" s="63"/>
      <c r="K89" s="63"/>
      <c r="L89" s="63"/>
    </row>
    <row r="90" spans="2:12">
      <c r="B90" s="49" t="s">
        <v>5150</v>
      </c>
      <c r="C90" s="41" t="s">
        <v>2999</v>
      </c>
      <c r="D90" s="64"/>
      <c r="E90" s="58"/>
      <c r="F90" s="58"/>
      <c r="G90" s="58"/>
      <c r="H90" s="58"/>
      <c r="I90" s="58"/>
      <c r="J90" s="58"/>
      <c r="K90" s="58"/>
      <c r="L90" s="48"/>
    </row>
    <row r="91" spans="2:12">
      <c r="B91" s="49" t="s">
        <v>5151</v>
      </c>
      <c r="C91" s="41" t="s">
        <v>3001</v>
      </c>
      <c r="D91" s="64"/>
      <c r="E91" s="58"/>
      <c r="F91" s="58"/>
      <c r="G91" s="58"/>
      <c r="H91" s="58"/>
      <c r="I91" s="58"/>
      <c r="J91" s="58"/>
      <c r="K91" s="58"/>
      <c r="L91" s="48"/>
    </row>
    <row r="92" spans="2:12">
      <c r="B92" s="49" t="s">
        <v>5152</v>
      </c>
      <c r="C92" s="41" t="s">
        <v>3003</v>
      </c>
      <c r="D92" s="64"/>
      <c r="E92" s="58"/>
      <c r="F92" s="58"/>
      <c r="G92" s="58"/>
      <c r="H92" s="58"/>
      <c r="I92" s="58"/>
      <c r="J92" s="58"/>
      <c r="K92" s="58"/>
      <c r="L92" s="48"/>
    </row>
    <row r="93" spans="2:12">
      <c r="B93" s="49" t="s">
        <v>5153</v>
      </c>
      <c r="C93" s="41" t="s">
        <v>3005</v>
      </c>
      <c r="D93" s="64"/>
      <c r="E93" s="58"/>
      <c r="F93" s="58"/>
      <c r="G93" s="58"/>
      <c r="H93" s="58"/>
      <c r="I93" s="58"/>
      <c r="J93" s="58"/>
      <c r="K93" s="58"/>
      <c r="L93" s="48"/>
    </row>
    <row r="94" spans="2:12">
      <c r="B94" s="49" t="s">
        <v>5154</v>
      </c>
      <c r="C94" s="41" t="s">
        <v>3007</v>
      </c>
      <c r="D94" s="64"/>
      <c r="E94" s="58"/>
      <c r="F94" s="58"/>
      <c r="G94" s="58"/>
      <c r="H94" s="58"/>
      <c r="I94" s="58"/>
      <c r="J94" s="58"/>
      <c r="K94" s="58"/>
      <c r="L94" s="48"/>
    </row>
    <row r="95" spans="2:12">
      <c r="B95" s="49" t="s">
        <v>5155</v>
      </c>
      <c r="C95" s="41" t="s">
        <v>3009</v>
      </c>
      <c r="D95" s="64"/>
      <c r="E95" s="58"/>
      <c r="F95" s="58"/>
      <c r="G95" s="58"/>
      <c r="H95" s="58"/>
      <c r="I95" s="58"/>
      <c r="J95" s="58"/>
      <c r="K95" s="58"/>
      <c r="L95" s="48"/>
    </row>
    <row r="96" spans="2:12">
      <c r="B96" s="49" t="s">
        <v>5156</v>
      </c>
      <c r="C96" s="41" t="s">
        <v>3011</v>
      </c>
      <c r="D96" s="64"/>
      <c r="E96" s="58"/>
      <c r="F96" s="58"/>
      <c r="G96" s="58"/>
      <c r="H96" s="58"/>
      <c r="I96" s="58"/>
      <c r="J96" s="58"/>
      <c r="K96" s="58"/>
      <c r="L96" s="48"/>
    </row>
    <row r="97" spans="2:12">
      <c r="B97" s="49" t="s">
        <v>5157</v>
      </c>
      <c r="C97" s="41" t="s">
        <v>3013</v>
      </c>
      <c r="D97" s="64"/>
      <c r="E97" s="58"/>
      <c r="F97" s="58"/>
      <c r="G97" s="58"/>
      <c r="H97" s="58"/>
      <c r="I97" s="58"/>
      <c r="J97" s="58"/>
      <c r="K97" s="58"/>
      <c r="L97" s="48"/>
    </row>
    <row r="98" spans="2:12">
      <c r="B98" s="49" t="s">
        <v>5158</v>
      </c>
      <c r="C98" s="41" t="s">
        <v>3015</v>
      </c>
      <c r="D98" s="64"/>
      <c r="E98" s="58"/>
      <c r="F98" s="58"/>
      <c r="G98" s="58"/>
      <c r="H98" s="58"/>
      <c r="I98" s="58"/>
      <c r="J98" s="58"/>
      <c r="K98" s="58"/>
      <c r="L98" s="48"/>
    </row>
    <row r="99" spans="2:12">
      <c r="B99" s="49" t="s">
        <v>5159</v>
      </c>
      <c r="C99" s="41" t="s">
        <v>3064</v>
      </c>
      <c r="D99" s="64"/>
      <c r="E99" s="58"/>
      <c r="F99" s="58"/>
      <c r="G99" s="58"/>
      <c r="H99" s="58"/>
      <c r="I99" s="58"/>
      <c r="J99" s="58"/>
      <c r="K99" s="58"/>
      <c r="L99" s="48"/>
    </row>
    <row r="100" spans="2:12">
      <c r="B100" s="49" t="s">
        <v>5160</v>
      </c>
      <c r="C100" s="41" t="s">
        <v>3066</v>
      </c>
      <c r="D100" s="64"/>
      <c r="E100" s="58"/>
      <c r="F100" s="58"/>
      <c r="G100" s="58"/>
      <c r="H100" s="58"/>
      <c r="I100" s="58"/>
      <c r="J100" s="58"/>
      <c r="K100" s="58"/>
      <c r="L100" s="48"/>
    </row>
    <row r="101" spans="2:12">
      <c r="B101" s="49" t="s">
        <v>5161</v>
      </c>
      <c r="C101" s="41" t="s">
        <v>3068</v>
      </c>
      <c r="D101" s="64"/>
      <c r="E101" s="58"/>
      <c r="F101" s="58"/>
      <c r="G101" s="58"/>
      <c r="H101" s="58"/>
      <c r="I101" s="58"/>
      <c r="J101" s="58"/>
      <c r="K101" s="58"/>
      <c r="L101" s="48"/>
    </row>
    <row r="102" spans="2:12">
      <c r="B102" s="49" t="s">
        <v>5162</v>
      </c>
      <c r="C102" s="41" t="s">
        <v>3070</v>
      </c>
      <c r="D102" s="64"/>
      <c r="E102" s="58"/>
      <c r="F102" s="58"/>
      <c r="G102" s="58"/>
      <c r="H102" s="58"/>
      <c r="I102" s="58"/>
      <c r="J102" s="58"/>
      <c r="K102" s="58"/>
      <c r="L102" s="48"/>
    </row>
    <row r="103" spans="2:12">
      <c r="B103" s="49" t="s">
        <v>5163</v>
      </c>
      <c r="C103" s="41" t="s">
        <v>3017</v>
      </c>
      <c r="D103" s="64"/>
      <c r="E103" s="58"/>
      <c r="F103" s="58"/>
      <c r="G103" s="58"/>
      <c r="H103" s="58"/>
      <c r="I103" s="58"/>
      <c r="J103" s="58"/>
      <c r="K103" s="58"/>
      <c r="L103" s="48"/>
    </row>
    <row r="104" spans="2:12">
      <c r="B104" s="49" t="s">
        <v>5164</v>
      </c>
      <c r="C104" s="41" t="s">
        <v>3019</v>
      </c>
      <c r="D104" s="64"/>
      <c r="E104" s="58"/>
      <c r="F104" s="58"/>
      <c r="G104" s="58"/>
      <c r="H104" s="58"/>
      <c r="I104" s="58"/>
      <c r="J104" s="58"/>
      <c r="K104" s="58"/>
      <c r="L104" s="48"/>
    </row>
    <row r="105" spans="2:12">
      <c r="B105" s="49" t="s">
        <v>5165</v>
      </c>
      <c r="C105" s="41" t="s">
        <v>3021</v>
      </c>
      <c r="D105" s="64"/>
      <c r="E105" s="58"/>
      <c r="F105" s="58"/>
      <c r="G105" s="58"/>
      <c r="H105" s="58"/>
      <c r="I105" s="58"/>
      <c r="J105" s="58"/>
      <c r="K105" s="58"/>
      <c r="L105" s="48"/>
    </row>
    <row r="106" spans="2:12">
      <c r="B106" s="49" t="s">
        <v>5166</v>
      </c>
      <c r="C106" s="41" t="s">
        <v>3023</v>
      </c>
      <c r="D106" s="64"/>
      <c r="E106" s="58"/>
      <c r="F106" s="58"/>
      <c r="G106" s="58"/>
      <c r="H106" s="58"/>
      <c r="I106" s="58"/>
      <c r="J106" s="58"/>
      <c r="K106" s="58"/>
      <c r="L106" s="48"/>
    </row>
    <row r="107" spans="2:12">
      <c r="B107" s="49" t="s">
        <v>5167</v>
      </c>
      <c r="C107" s="41" t="s">
        <v>3072</v>
      </c>
      <c r="D107" s="64"/>
      <c r="E107" s="58"/>
      <c r="F107" s="58"/>
      <c r="G107" s="58"/>
      <c r="H107" s="58"/>
      <c r="I107" s="56"/>
      <c r="J107" s="56"/>
      <c r="K107" s="56"/>
      <c r="L107" s="46"/>
    </row>
    <row r="108" spans="2:12">
      <c r="B108" s="49" t="s">
        <v>5168</v>
      </c>
      <c r="C108" s="41" t="s">
        <v>3118</v>
      </c>
      <c r="D108" s="65"/>
      <c r="E108" s="58"/>
      <c r="F108" s="58"/>
      <c r="G108" s="58"/>
      <c r="H108" s="48"/>
      <c r="I108" s="60"/>
      <c r="J108" s="60"/>
      <c r="K108" s="60"/>
      <c r="L108" s="60"/>
    </row>
    <row r="109" spans="2:12">
      <c r="B109" s="49" t="s">
        <v>5169</v>
      </c>
      <c r="C109" s="44" t="s">
        <v>3120</v>
      </c>
      <c r="D109" s="58"/>
      <c r="E109" s="58"/>
      <c r="F109" s="58"/>
      <c r="G109" s="58"/>
      <c r="H109" s="48"/>
      <c r="I109" s="60"/>
      <c r="J109" s="63"/>
      <c r="K109" s="63"/>
      <c r="L109" s="60"/>
    </row>
    <row r="110" spans="2:12">
      <c r="B110" s="49" t="s">
        <v>5170</v>
      </c>
      <c r="C110" s="44" t="s">
        <v>3122</v>
      </c>
      <c r="D110" s="58"/>
      <c r="E110" s="58"/>
      <c r="F110" s="58"/>
      <c r="G110" s="58"/>
      <c r="H110" s="48"/>
      <c r="I110" s="64"/>
      <c r="J110" s="58"/>
      <c r="K110" s="48"/>
      <c r="L110" s="60"/>
    </row>
    <row r="111" spans="2:12">
      <c r="B111" s="49" t="s">
        <v>5171</v>
      </c>
      <c r="C111" s="44" t="s">
        <v>3124</v>
      </c>
      <c r="D111" s="56"/>
      <c r="E111" s="56"/>
      <c r="F111" s="56"/>
      <c r="G111" s="56"/>
      <c r="H111" s="46"/>
      <c r="I111" s="64"/>
      <c r="J111" s="56"/>
      <c r="K111" s="46"/>
      <c r="L111" s="60"/>
    </row>
    <row r="113" spans="2:27">
      <c r="Z113" s="13" t="str">
        <f>Show!$B$158&amp;Show!$B$158&amp;"SR.27.01.01.02 Rows {"&amp;COLUMN($C$1)&amp;"}"</f>
        <v>!!SR.27.01.01.02 Rows {3}</v>
      </c>
      <c r="AA113" s="13" t="str">
        <f>Show!$B$158&amp;Show!$B$158&amp;"SR.27.01.01.02 Columns {"&amp;COLUMN($L$1)&amp;"}"</f>
        <v>!!SR.27.01.01.02 Columns {12}</v>
      </c>
    </row>
    <row r="115" spans="2:27" ht="18.75">
      <c r="B115" s="88" t="s">
        <v>5576</v>
      </c>
      <c r="C115" s="87"/>
      <c r="D115" s="87"/>
      <c r="E115" s="87"/>
      <c r="F115" s="87"/>
      <c r="G115" s="87"/>
      <c r="H115" s="87"/>
      <c r="I115" s="87"/>
      <c r="J115" s="87"/>
      <c r="K115" s="87"/>
      <c r="L115" s="87"/>
    </row>
    <row r="117" spans="2:27">
      <c r="B117" t="s">
        <v>3110</v>
      </c>
      <c r="Z117" s="13" t="str">
        <f>Show!$B$158&amp;"SR.27.01.01.03 Table label {"&amp;COLUMN($C$1)&amp;"}"</f>
        <v>!SR.27.01.01.03 Table label {3}</v>
      </c>
      <c r="AA117" s="13" t="str">
        <f>Show!$B$158&amp;"SR.27.01.01.03 Table value {"&amp;COLUMN($D$1)&amp;"}"</f>
        <v>!SR.27.01.01.03 Table value {4}</v>
      </c>
    </row>
    <row r="118" spans="2:27">
      <c r="B118" t="s">
        <v>3111</v>
      </c>
    </row>
    <row r="119" spans="2:27">
      <c r="B119" s="40" t="s">
        <v>3788</v>
      </c>
      <c r="C119" s="53" t="s">
        <v>3115</v>
      </c>
      <c r="D119" s="51"/>
    </row>
    <row r="120" spans="2:27">
      <c r="B120" s="40" t="s">
        <v>3114</v>
      </c>
      <c r="C120" s="53" t="s">
        <v>3323</v>
      </c>
      <c r="D120" s="50"/>
    </row>
    <row r="121" spans="2:27">
      <c r="Z121" s="13" t="str">
        <f>Show!$B$158&amp;Show!$B$158&amp;"SR.27.01.01.03 Table label {"&amp;COLUMN($C$1)&amp;"}"</f>
        <v>!!SR.27.01.01.03 Table label {3}</v>
      </c>
      <c r="AA121" s="13" t="str">
        <f>Show!$B$158&amp;Show!$B$158&amp;"SR.27.01.01.03 Table value {"&amp;COLUMN($D$1)&amp;"}"</f>
        <v>!!SR.27.01.01.03 Table value {4}</v>
      </c>
    </row>
    <row r="123" spans="2:27">
      <c r="D123" s="92" t="s">
        <v>2877</v>
      </c>
      <c r="E123" s="93"/>
      <c r="F123" s="93"/>
      <c r="G123" s="93"/>
      <c r="H123" s="93"/>
      <c r="I123" s="93"/>
      <c r="J123" s="93"/>
      <c r="K123" s="94"/>
    </row>
    <row r="124" spans="2:27">
      <c r="D124" s="95"/>
      <c r="E124" s="96"/>
      <c r="F124" s="96"/>
      <c r="G124" s="96"/>
      <c r="H124" s="96"/>
      <c r="I124" s="96"/>
      <c r="J124" s="96"/>
      <c r="K124" s="97"/>
    </row>
    <row r="125" spans="2:27">
      <c r="D125" s="89" t="s">
        <v>5114</v>
      </c>
      <c r="E125" s="89" t="s">
        <v>5115</v>
      </c>
      <c r="F125" s="89" t="s">
        <v>5116</v>
      </c>
      <c r="G125" s="89" t="s">
        <v>5117</v>
      </c>
      <c r="H125" s="89" t="s">
        <v>5119</v>
      </c>
      <c r="I125" s="89" t="s">
        <v>5120</v>
      </c>
      <c r="J125" s="89" t="s">
        <v>5121</v>
      </c>
      <c r="K125" s="89" t="s">
        <v>5122</v>
      </c>
    </row>
    <row r="126" spans="2:27">
      <c r="D126" s="91"/>
      <c r="E126" s="91"/>
      <c r="F126" s="91"/>
      <c r="G126" s="91"/>
      <c r="H126" s="91"/>
      <c r="I126" s="91"/>
      <c r="J126" s="91"/>
      <c r="K126" s="91"/>
    </row>
    <row r="127" spans="2:27">
      <c r="D127" s="45" t="s">
        <v>3375</v>
      </c>
      <c r="E127" s="45" t="s">
        <v>3475</v>
      </c>
      <c r="F127" s="45" t="s">
        <v>3477</v>
      </c>
      <c r="G127" s="45" t="s">
        <v>3479</v>
      </c>
      <c r="H127" s="45" t="s">
        <v>3594</v>
      </c>
      <c r="I127" s="45" t="s">
        <v>3596</v>
      </c>
      <c r="J127" s="45" t="s">
        <v>3599</v>
      </c>
      <c r="K127" s="45" t="s">
        <v>3481</v>
      </c>
      <c r="Z127" s="13" t="str">
        <f>Show!$B$158&amp;"SR.27.01.01.03 Rows {"&amp;COLUMN($C$1)&amp;"}"&amp;"@ForceFilingCode:true"</f>
        <v>!SR.27.01.01.03 Rows {3}@ForceFilingCode:true</v>
      </c>
      <c r="AA127" s="13" t="str">
        <f>Show!$B$158&amp;"SR.27.01.01.03 Columns {"&amp;COLUMN($D$1)&amp;"}"</f>
        <v>!SR.27.01.01.03 Columns {4}</v>
      </c>
    </row>
    <row r="128" spans="2:27">
      <c r="B128" s="43" t="s">
        <v>2880</v>
      </c>
      <c r="C128" s="44" t="s">
        <v>2878</v>
      </c>
      <c r="D128" s="58"/>
      <c r="E128" s="67"/>
      <c r="F128" s="67"/>
      <c r="G128" s="67"/>
      <c r="H128" s="67"/>
      <c r="I128" s="67"/>
      <c r="J128" s="67"/>
      <c r="K128" s="59"/>
    </row>
    <row r="129" spans="2:11">
      <c r="B129" s="47" t="s">
        <v>5173</v>
      </c>
      <c r="C129" s="44" t="s">
        <v>2878</v>
      </c>
      <c r="D129" s="58"/>
      <c r="E129" s="66"/>
      <c r="F129" s="66"/>
      <c r="G129" s="66"/>
      <c r="H129" s="66"/>
      <c r="I129" s="66"/>
      <c r="J129" s="66"/>
      <c r="K129" s="57"/>
    </row>
    <row r="130" spans="2:11">
      <c r="B130" s="49" t="s">
        <v>5124</v>
      </c>
      <c r="C130" s="44" t="s">
        <v>3126</v>
      </c>
      <c r="D130" s="48"/>
      <c r="E130" s="60"/>
      <c r="F130" s="60"/>
      <c r="G130" s="70"/>
      <c r="H130" s="60"/>
      <c r="I130" s="60"/>
      <c r="J130" s="60"/>
      <c r="K130" s="60"/>
    </row>
    <row r="131" spans="2:11">
      <c r="B131" s="49" t="s">
        <v>5125</v>
      </c>
      <c r="C131" s="44" t="s">
        <v>3128</v>
      </c>
      <c r="D131" s="48"/>
      <c r="E131" s="60"/>
      <c r="F131" s="60"/>
      <c r="G131" s="70"/>
      <c r="H131" s="60"/>
      <c r="I131" s="60"/>
      <c r="J131" s="60"/>
      <c r="K131" s="60"/>
    </row>
    <row r="132" spans="2:11">
      <c r="B132" s="49" t="s">
        <v>5174</v>
      </c>
      <c r="C132" s="44" t="s">
        <v>3130</v>
      </c>
      <c r="D132" s="48"/>
      <c r="E132" s="60"/>
      <c r="F132" s="60"/>
      <c r="G132" s="70"/>
      <c r="H132" s="60"/>
      <c r="I132" s="60"/>
      <c r="J132" s="60"/>
      <c r="K132" s="60"/>
    </row>
    <row r="133" spans="2:11">
      <c r="B133" s="49" t="s">
        <v>5175</v>
      </c>
      <c r="C133" s="44" t="s">
        <v>3132</v>
      </c>
      <c r="D133" s="48"/>
      <c r="E133" s="60"/>
      <c r="F133" s="60"/>
      <c r="G133" s="70"/>
      <c r="H133" s="60"/>
      <c r="I133" s="60"/>
      <c r="J133" s="60"/>
      <c r="K133" s="60"/>
    </row>
    <row r="134" spans="2:11">
      <c r="B134" s="49" t="s">
        <v>5176</v>
      </c>
      <c r="C134" s="44" t="s">
        <v>3134</v>
      </c>
      <c r="D134" s="48"/>
      <c r="E134" s="60"/>
      <c r="F134" s="60"/>
      <c r="G134" s="70"/>
      <c r="H134" s="60"/>
      <c r="I134" s="60"/>
      <c r="J134" s="60"/>
      <c r="K134" s="60"/>
    </row>
    <row r="135" spans="2:11">
      <c r="B135" s="49" t="s">
        <v>5126</v>
      </c>
      <c r="C135" s="44" t="s">
        <v>3136</v>
      </c>
      <c r="D135" s="48"/>
      <c r="E135" s="60"/>
      <c r="F135" s="60"/>
      <c r="G135" s="70"/>
      <c r="H135" s="60"/>
      <c r="I135" s="60"/>
      <c r="J135" s="60"/>
      <c r="K135" s="60"/>
    </row>
    <row r="136" spans="2:11">
      <c r="B136" s="49" t="s">
        <v>5127</v>
      </c>
      <c r="C136" s="44" t="s">
        <v>3138</v>
      </c>
      <c r="D136" s="48"/>
      <c r="E136" s="60"/>
      <c r="F136" s="60"/>
      <c r="G136" s="70"/>
      <c r="H136" s="60"/>
      <c r="I136" s="60"/>
      <c r="J136" s="60"/>
      <c r="K136" s="60"/>
    </row>
    <row r="137" spans="2:11" ht="30">
      <c r="B137" s="49" t="s">
        <v>5131</v>
      </c>
      <c r="C137" s="44" t="s">
        <v>3140</v>
      </c>
      <c r="D137" s="48"/>
      <c r="E137" s="60"/>
      <c r="F137" s="60"/>
      <c r="G137" s="70"/>
      <c r="H137" s="60"/>
      <c r="I137" s="60"/>
      <c r="J137" s="60"/>
      <c r="K137" s="60"/>
    </row>
    <row r="138" spans="2:11">
      <c r="B138" s="49" t="s">
        <v>5132</v>
      </c>
      <c r="C138" s="44" t="s">
        <v>3142</v>
      </c>
      <c r="D138" s="48"/>
      <c r="E138" s="60"/>
      <c r="F138" s="60"/>
      <c r="G138" s="70"/>
      <c r="H138" s="60"/>
      <c r="I138" s="60"/>
      <c r="J138" s="60"/>
      <c r="K138" s="60"/>
    </row>
    <row r="139" spans="2:11">
      <c r="B139" s="49" t="s">
        <v>5177</v>
      </c>
      <c r="C139" s="44" t="s">
        <v>3144</v>
      </c>
      <c r="D139" s="48"/>
      <c r="E139" s="60"/>
      <c r="F139" s="60"/>
      <c r="G139" s="70"/>
      <c r="H139" s="60"/>
      <c r="I139" s="60"/>
      <c r="J139" s="60"/>
      <c r="K139" s="60"/>
    </row>
    <row r="140" spans="2:11">
      <c r="B140" s="49" t="s">
        <v>5133</v>
      </c>
      <c r="C140" s="44" t="s">
        <v>3146</v>
      </c>
      <c r="D140" s="48"/>
      <c r="E140" s="60"/>
      <c r="F140" s="60"/>
      <c r="G140" s="70"/>
      <c r="H140" s="60"/>
      <c r="I140" s="60"/>
      <c r="J140" s="60"/>
      <c r="K140" s="60"/>
    </row>
    <row r="141" spans="2:11">
      <c r="B141" s="49" t="s">
        <v>5178</v>
      </c>
      <c r="C141" s="44" t="s">
        <v>3148</v>
      </c>
      <c r="D141" s="48"/>
      <c r="E141" s="60"/>
      <c r="F141" s="60"/>
      <c r="G141" s="70"/>
      <c r="H141" s="60"/>
      <c r="I141" s="60"/>
      <c r="J141" s="60"/>
      <c r="K141" s="60"/>
    </row>
    <row r="142" spans="2:11">
      <c r="B142" s="49" t="s">
        <v>5179</v>
      </c>
      <c r="C142" s="44" t="s">
        <v>3091</v>
      </c>
      <c r="D142" s="48"/>
      <c r="E142" s="60"/>
      <c r="F142" s="60"/>
      <c r="G142" s="70"/>
      <c r="H142" s="60"/>
      <c r="I142" s="60"/>
      <c r="J142" s="60"/>
      <c r="K142" s="60"/>
    </row>
    <row r="143" spans="2:11">
      <c r="B143" s="49" t="s">
        <v>5180</v>
      </c>
      <c r="C143" s="44" t="s">
        <v>3098</v>
      </c>
      <c r="D143" s="48"/>
      <c r="E143" s="60"/>
      <c r="F143" s="60"/>
      <c r="G143" s="70"/>
      <c r="H143" s="60"/>
      <c r="I143" s="60"/>
      <c r="J143" s="60"/>
      <c r="K143" s="60"/>
    </row>
    <row r="144" spans="2:11">
      <c r="B144" s="49" t="s">
        <v>5181</v>
      </c>
      <c r="C144" s="44" t="s">
        <v>3093</v>
      </c>
      <c r="D144" s="48"/>
      <c r="E144" s="60"/>
      <c r="F144" s="60"/>
      <c r="G144" s="70"/>
      <c r="H144" s="60"/>
      <c r="I144" s="60"/>
      <c r="J144" s="60"/>
      <c r="K144" s="60"/>
    </row>
    <row r="145" spans="2:11">
      <c r="B145" s="49" t="s">
        <v>5182</v>
      </c>
      <c r="C145" s="44" t="s">
        <v>3100</v>
      </c>
      <c r="D145" s="48"/>
      <c r="E145" s="60"/>
      <c r="F145" s="60"/>
      <c r="G145" s="70"/>
      <c r="H145" s="60"/>
      <c r="I145" s="60"/>
      <c r="J145" s="60"/>
      <c r="K145" s="60"/>
    </row>
    <row r="146" spans="2:11">
      <c r="B146" s="49" t="s">
        <v>5129</v>
      </c>
      <c r="C146" s="44" t="s">
        <v>3200</v>
      </c>
      <c r="D146" s="48"/>
      <c r="E146" s="60"/>
      <c r="F146" s="60"/>
      <c r="G146" s="70"/>
      <c r="H146" s="60"/>
      <c r="I146" s="60"/>
      <c r="J146" s="60"/>
      <c r="K146" s="60"/>
    </row>
    <row r="147" spans="2:11">
      <c r="B147" s="49" t="s">
        <v>5145</v>
      </c>
      <c r="C147" s="44" t="s">
        <v>3315</v>
      </c>
      <c r="D147" s="48"/>
      <c r="E147" s="60"/>
      <c r="F147" s="60"/>
      <c r="G147" s="70"/>
      <c r="H147" s="60"/>
      <c r="I147" s="60"/>
      <c r="J147" s="60"/>
      <c r="K147" s="60"/>
    </row>
    <row r="148" spans="2:11">
      <c r="B148" s="49" t="s">
        <v>5146</v>
      </c>
      <c r="C148" s="44" t="s">
        <v>3496</v>
      </c>
      <c r="D148" s="48"/>
      <c r="E148" s="60"/>
      <c r="F148" s="60"/>
      <c r="G148" s="70"/>
      <c r="H148" s="60"/>
      <c r="I148" s="60"/>
      <c r="J148" s="60"/>
      <c r="K148" s="60"/>
    </row>
    <row r="149" spans="2:11">
      <c r="B149" s="49" t="s">
        <v>5147</v>
      </c>
      <c r="C149" s="44" t="s">
        <v>3497</v>
      </c>
      <c r="D149" s="48"/>
      <c r="E149" s="60"/>
      <c r="F149" s="60"/>
      <c r="G149" s="70"/>
      <c r="H149" s="60"/>
      <c r="I149" s="60"/>
      <c r="J149" s="60"/>
      <c r="K149" s="60"/>
    </row>
    <row r="150" spans="2:11">
      <c r="B150" s="49" t="s">
        <v>5183</v>
      </c>
      <c r="C150" s="44" t="s">
        <v>3498</v>
      </c>
      <c r="D150" s="46"/>
      <c r="E150" s="63"/>
      <c r="F150" s="63"/>
      <c r="G150" s="76"/>
      <c r="H150" s="63"/>
      <c r="I150" s="63"/>
      <c r="J150" s="63"/>
      <c r="K150" s="63"/>
    </row>
    <row r="151" spans="2:11">
      <c r="B151" s="49" t="s">
        <v>5150</v>
      </c>
      <c r="C151" s="41" t="s">
        <v>3499</v>
      </c>
      <c r="D151" s="64"/>
      <c r="E151" s="58"/>
      <c r="F151" s="58"/>
      <c r="G151" s="58"/>
      <c r="H151" s="58"/>
      <c r="I151" s="58"/>
      <c r="J151" s="58"/>
      <c r="K151" s="48"/>
    </row>
    <row r="152" spans="2:11">
      <c r="B152" s="49" t="s">
        <v>5151</v>
      </c>
      <c r="C152" s="41" t="s">
        <v>4939</v>
      </c>
      <c r="D152" s="64"/>
      <c r="E152" s="58"/>
      <c r="F152" s="58"/>
      <c r="G152" s="58"/>
      <c r="H152" s="58"/>
      <c r="I152" s="58"/>
      <c r="J152" s="58"/>
      <c r="K152" s="48"/>
    </row>
    <row r="153" spans="2:11">
      <c r="B153" s="49" t="s">
        <v>5152</v>
      </c>
      <c r="C153" s="41" t="s">
        <v>5184</v>
      </c>
      <c r="D153" s="64"/>
      <c r="E153" s="58"/>
      <c r="F153" s="58"/>
      <c r="G153" s="58"/>
      <c r="H153" s="58"/>
      <c r="I153" s="58"/>
      <c r="J153" s="58"/>
      <c r="K153" s="48"/>
    </row>
    <row r="154" spans="2:11">
      <c r="B154" s="49" t="s">
        <v>5153</v>
      </c>
      <c r="C154" s="41" t="s">
        <v>5185</v>
      </c>
      <c r="D154" s="64"/>
      <c r="E154" s="58"/>
      <c r="F154" s="58"/>
      <c r="G154" s="58"/>
      <c r="H154" s="58"/>
      <c r="I154" s="58"/>
      <c r="J154" s="58"/>
      <c r="K154" s="48"/>
    </row>
    <row r="155" spans="2:11">
      <c r="B155" s="49" t="s">
        <v>5154</v>
      </c>
      <c r="C155" s="41" t="s">
        <v>5186</v>
      </c>
      <c r="D155" s="64"/>
      <c r="E155" s="58"/>
      <c r="F155" s="58"/>
      <c r="G155" s="58"/>
      <c r="H155" s="58"/>
      <c r="I155" s="58"/>
      <c r="J155" s="58"/>
      <c r="K155" s="48"/>
    </row>
    <row r="156" spans="2:11">
      <c r="B156" s="49" t="s">
        <v>5155</v>
      </c>
      <c r="C156" s="41" t="s">
        <v>5187</v>
      </c>
      <c r="D156" s="64"/>
      <c r="E156" s="58"/>
      <c r="F156" s="58"/>
      <c r="G156" s="58"/>
      <c r="H156" s="58"/>
      <c r="I156" s="58"/>
      <c r="J156" s="58"/>
      <c r="K156" s="48"/>
    </row>
    <row r="157" spans="2:11">
      <c r="B157" s="49" t="s">
        <v>5156</v>
      </c>
      <c r="C157" s="41" t="s">
        <v>3500</v>
      </c>
      <c r="D157" s="64"/>
      <c r="E157" s="58"/>
      <c r="F157" s="58"/>
      <c r="G157" s="58"/>
      <c r="H157" s="58"/>
      <c r="I157" s="58"/>
      <c r="J157" s="58"/>
      <c r="K157" s="48"/>
    </row>
    <row r="158" spans="2:11">
      <c r="B158" s="49" t="s">
        <v>5157</v>
      </c>
      <c r="C158" s="41" t="s">
        <v>4507</v>
      </c>
      <c r="D158" s="64"/>
      <c r="E158" s="58"/>
      <c r="F158" s="58"/>
      <c r="G158" s="58"/>
      <c r="H158" s="58"/>
      <c r="I158" s="58"/>
      <c r="J158" s="58"/>
      <c r="K158" s="48"/>
    </row>
    <row r="159" spans="2:11">
      <c r="B159" s="49" t="s">
        <v>5158</v>
      </c>
      <c r="C159" s="41" t="s">
        <v>4508</v>
      </c>
      <c r="D159" s="64"/>
      <c r="E159" s="58"/>
      <c r="F159" s="58"/>
      <c r="G159" s="58"/>
      <c r="H159" s="58"/>
      <c r="I159" s="58"/>
      <c r="J159" s="58"/>
      <c r="K159" s="48"/>
    </row>
    <row r="160" spans="2:11">
      <c r="B160" s="49" t="s">
        <v>5159</v>
      </c>
      <c r="C160" s="41" t="s">
        <v>5188</v>
      </c>
      <c r="D160" s="64"/>
      <c r="E160" s="58"/>
      <c r="F160" s="58"/>
      <c r="G160" s="58"/>
      <c r="H160" s="58"/>
      <c r="I160" s="58"/>
      <c r="J160" s="58"/>
      <c r="K160" s="48"/>
    </row>
    <row r="161" spans="2:27">
      <c r="B161" s="49" t="s">
        <v>5160</v>
      </c>
      <c r="C161" s="41" t="s">
        <v>5189</v>
      </c>
      <c r="D161" s="64"/>
      <c r="E161" s="58"/>
      <c r="F161" s="58"/>
      <c r="G161" s="58"/>
      <c r="H161" s="58"/>
      <c r="I161" s="58"/>
      <c r="J161" s="58"/>
      <c r="K161" s="48"/>
    </row>
    <row r="162" spans="2:27">
      <c r="B162" s="49" t="s">
        <v>5161</v>
      </c>
      <c r="C162" s="41" t="s">
        <v>5190</v>
      </c>
      <c r="D162" s="64"/>
      <c r="E162" s="58"/>
      <c r="F162" s="58"/>
      <c r="G162" s="58"/>
      <c r="H162" s="58"/>
      <c r="I162" s="58"/>
      <c r="J162" s="58"/>
      <c r="K162" s="48"/>
    </row>
    <row r="163" spans="2:27">
      <c r="B163" s="49" t="s">
        <v>5162</v>
      </c>
      <c r="C163" s="41" t="s">
        <v>5191</v>
      </c>
      <c r="D163" s="64"/>
      <c r="E163" s="58"/>
      <c r="F163" s="58"/>
      <c r="G163" s="58"/>
      <c r="H163" s="58"/>
      <c r="I163" s="58"/>
      <c r="J163" s="58"/>
      <c r="K163" s="48"/>
    </row>
    <row r="164" spans="2:27">
      <c r="B164" s="49" t="s">
        <v>5163</v>
      </c>
      <c r="C164" s="41" t="s">
        <v>5192</v>
      </c>
      <c r="D164" s="64"/>
      <c r="E164" s="58"/>
      <c r="F164" s="58"/>
      <c r="G164" s="58"/>
      <c r="H164" s="58"/>
      <c r="I164" s="58"/>
      <c r="J164" s="58"/>
      <c r="K164" s="48"/>
    </row>
    <row r="165" spans="2:27">
      <c r="B165" s="49" t="s">
        <v>5164</v>
      </c>
      <c r="C165" s="41" t="s">
        <v>5193</v>
      </c>
      <c r="D165" s="64"/>
      <c r="E165" s="58"/>
      <c r="F165" s="58"/>
      <c r="G165" s="58"/>
      <c r="H165" s="58"/>
      <c r="I165" s="58"/>
      <c r="J165" s="58"/>
      <c r="K165" s="48"/>
    </row>
    <row r="166" spans="2:27">
      <c r="B166" s="49" t="s">
        <v>5165</v>
      </c>
      <c r="C166" s="41" t="s">
        <v>5194</v>
      </c>
      <c r="D166" s="64"/>
      <c r="E166" s="58"/>
      <c r="F166" s="58"/>
      <c r="G166" s="58"/>
      <c r="H166" s="58"/>
      <c r="I166" s="58"/>
      <c r="J166" s="58"/>
      <c r="K166" s="48"/>
    </row>
    <row r="167" spans="2:27">
      <c r="B167" s="49" t="s">
        <v>5166</v>
      </c>
      <c r="C167" s="41" t="s">
        <v>3502</v>
      </c>
      <c r="D167" s="64"/>
      <c r="E167" s="58"/>
      <c r="F167" s="58"/>
      <c r="G167" s="58"/>
      <c r="H167" s="58"/>
      <c r="I167" s="58"/>
      <c r="J167" s="58"/>
      <c r="K167" s="48"/>
    </row>
    <row r="168" spans="2:27">
      <c r="B168" s="49" t="s">
        <v>5167</v>
      </c>
      <c r="C168" s="41" t="s">
        <v>5195</v>
      </c>
      <c r="D168" s="64"/>
      <c r="E168" s="58"/>
      <c r="F168" s="58"/>
      <c r="G168" s="58"/>
      <c r="H168" s="56"/>
      <c r="I168" s="56"/>
      <c r="J168" s="56"/>
      <c r="K168" s="46"/>
    </row>
    <row r="169" spans="2:27">
      <c r="B169" s="49" t="s">
        <v>5196</v>
      </c>
      <c r="C169" s="41" t="s">
        <v>5197</v>
      </c>
      <c r="D169" s="65"/>
      <c r="E169" s="58"/>
      <c r="F169" s="58"/>
      <c r="G169" s="48"/>
      <c r="H169" s="60"/>
      <c r="I169" s="60"/>
      <c r="J169" s="60"/>
      <c r="K169" s="60"/>
    </row>
    <row r="170" spans="2:27">
      <c r="B170" s="49" t="s">
        <v>5198</v>
      </c>
      <c r="C170" s="44" t="s">
        <v>5199</v>
      </c>
      <c r="D170" s="58"/>
      <c r="E170" s="58"/>
      <c r="F170" s="58"/>
      <c r="G170" s="48"/>
      <c r="H170" s="60"/>
      <c r="I170" s="63"/>
      <c r="J170" s="63"/>
      <c r="K170" s="60"/>
    </row>
    <row r="171" spans="2:27">
      <c r="B171" s="49" t="s">
        <v>5170</v>
      </c>
      <c r="C171" s="44" t="s">
        <v>5200</v>
      </c>
      <c r="D171" s="58"/>
      <c r="E171" s="58"/>
      <c r="F171" s="58"/>
      <c r="G171" s="48"/>
      <c r="H171" s="64"/>
      <c r="I171" s="58"/>
      <c r="J171" s="48"/>
      <c r="K171" s="60"/>
    </row>
    <row r="172" spans="2:27">
      <c r="B172" s="49" t="s">
        <v>5201</v>
      </c>
      <c r="C172" s="44" t="s">
        <v>5202</v>
      </c>
      <c r="D172" s="56"/>
      <c r="E172" s="56"/>
      <c r="F172" s="56"/>
      <c r="G172" s="46"/>
      <c r="H172" s="64"/>
      <c r="I172" s="56"/>
      <c r="J172" s="46"/>
      <c r="K172" s="60"/>
    </row>
    <row r="174" spans="2:27">
      <c r="Z174" s="13" t="str">
        <f>Show!$B$158&amp;Show!$B$158&amp;"SR.27.01.01.03 Rows {"&amp;COLUMN($C$1)&amp;"}"</f>
        <v>!!SR.27.01.01.03 Rows {3}</v>
      </c>
      <c r="AA174" s="13" t="str">
        <f>Show!$B$158&amp;Show!$B$158&amp;"SR.27.01.01.03 Columns {"&amp;COLUMN($K$1)&amp;"}"</f>
        <v>!!SR.27.01.01.03 Columns {11}</v>
      </c>
    </row>
    <row r="176" spans="2:27" ht="18.75">
      <c r="B176" s="88" t="s">
        <v>5577</v>
      </c>
      <c r="C176" s="87"/>
      <c r="D176" s="87"/>
      <c r="E176" s="87"/>
      <c r="F176" s="87"/>
      <c r="G176" s="87"/>
      <c r="H176" s="87"/>
      <c r="I176" s="87"/>
      <c r="J176" s="87"/>
      <c r="K176" s="87"/>
      <c r="L176" s="87"/>
    </row>
    <row r="178" spans="2:27">
      <c r="B178" t="s">
        <v>3110</v>
      </c>
      <c r="Z178" s="13" t="str">
        <f>Show!$B$158&amp;"SR.27.01.01.04 Table label {"&amp;COLUMN($C$1)&amp;"}"</f>
        <v>!SR.27.01.01.04 Table label {3}</v>
      </c>
      <c r="AA178" s="13" t="str">
        <f>Show!$B$158&amp;"SR.27.01.01.04 Table value {"&amp;COLUMN($D$1)&amp;"}"</f>
        <v>!SR.27.01.01.04 Table value {4}</v>
      </c>
    </row>
    <row r="179" spans="2:27">
      <c r="B179" t="s">
        <v>3111</v>
      </c>
    </row>
    <row r="180" spans="2:27">
      <c r="B180" s="40" t="s">
        <v>3788</v>
      </c>
      <c r="C180" s="53" t="s">
        <v>3115</v>
      </c>
      <c r="D180" s="51"/>
    </row>
    <row r="181" spans="2:27">
      <c r="B181" s="40" t="s">
        <v>3114</v>
      </c>
      <c r="C181" s="53" t="s">
        <v>3323</v>
      </c>
      <c r="D181" s="50"/>
    </row>
    <row r="182" spans="2:27">
      <c r="Z182" s="13" t="str">
        <f>Show!$B$158&amp;Show!$B$158&amp;"SR.27.01.01.04 Table label {"&amp;COLUMN($C$1)&amp;"}"</f>
        <v>!!SR.27.01.01.04 Table label {3}</v>
      </c>
      <c r="AA182" s="13" t="str">
        <f>Show!$B$158&amp;Show!$B$158&amp;"SR.27.01.01.04 Table value {"&amp;COLUMN($D$1)&amp;"}"</f>
        <v>!!SR.27.01.01.04 Table value {4}</v>
      </c>
    </row>
    <row r="184" spans="2:27">
      <c r="D184" s="92" t="s">
        <v>2877</v>
      </c>
      <c r="E184" s="93"/>
      <c r="F184" s="93"/>
      <c r="G184" s="93"/>
      <c r="H184" s="93"/>
      <c r="I184" s="93"/>
      <c r="J184" s="93"/>
      <c r="K184" s="93"/>
      <c r="L184" s="94"/>
    </row>
    <row r="185" spans="2:27">
      <c r="D185" s="95"/>
      <c r="E185" s="96"/>
      <c r="F185" s="96"/>
      <c r="G185" s="96"/>
      <c r="H185" s="96"/>
      <c r="I185" s="96"/>
      <c r="J185" s="96"/>
      <c r="K185" s="96"/>
      <c r="L185" s="97"/>
    </row>
    <row r="186" spans="2:27">
      <c r="D186" s="89" t="s">
        <v>5114</v>
      </c>
      <c r="E186" s="89" t="s">
        <v>5115</v>
      </c>
      <c r="F186" s="89" t="s">
        <v>5116</v>
      </c>
      <c r="G186" s="89" t="s">
        <v>5117</v>
      </c>
      <c r="H186" s="89" t="s">
        <v>5118</v>
      </c>
      <c r="I186" s="89" t="s">
        <v>5119</v>
      </c>
      <c r="J186" s="89" t="s">
        <v>5120</v>
      </c>
      <c r="K186" s="89" t="s">
        <v>5121</v>
      </c>
      <c r="L186" s="89" t="s">
        <v>5122</v>
      </c>
    </row>
    <row r="187" spans="2:27">
      <c r="D187" s="91"/>
      <c r="E187" s="91"/>
      <c r="F187" s="91"/>
      <c r="G187" s="91"/>
      <c r="H187" s="91"/>
      <c r="I187" s="91"/>
      <c r="J187" s="91"/>
      <c r="K187" s="91"/>
      <c r="L187" s="91"/>
    </row>
    <row r="188" spans="2:27">
      <c r="D188" s="45" t="s">
        <v>3508</v>
      </c>
      <c r="E188" s="45" t="s">
        <v>3509</v>
      </c>
      <c r="F188" s="45" t="s">
        <v>3511</v>
      </c>
      <c r="G188" s="45" t="s">
        <v>3513</v>
      </c>
      <c r="H188" s="45" t="s">
        <v>3514</v>
      </c>
      <c r="I188" s="45" t="s">
        <v>3515</v>
      </c>
      <c r="J188" s="45" t="s">
        <v>3517</v>
      </c>
      <c r="K188" s="45" t="s">
        <v>3518</v>
      </c>
      <c r="L188" s="45" t="s">
        <v>3608</v>
      </c>
      <c r="Z188" s="13" t="str">
        <f>Show!$B$158&amp;"SR.27.01.01.04 Rows {"&amp;COLUMN($C$1)&amp;"}"&amp;"@ForceFilingCode:true"</f>
        <v>!SR.27.01.01.04 Rows {3}@ForceFilingCode:true</v>
      </c>
      <c r="AA188" s="13" t="str">
        <f>Show!$B$158&amp;"SR.27.01.01.04 Columns {"&amp;COLUMN($D$1)&amp;"}"</f>
        <v>!SR.27.01.01.04 Columns {4}</v>
      </c>
    </row>
    <row r="189" spans="2:27">
      <c r="B189" s="43" t="s">
        <v>2880</v>
      </c>
      <c r="C189" s="44" t="s">
        <v>2878</v>
      </c>
      <c r="D189" s="58"/>
      <c r="E189" s="67"/>
      <c r="F189" s="67"/>
      <c r="G189" s="67"/>
      <c r="H189" s="67"/>
      <c r="I189" s="67"/>
      <c r="J189" s="67"/>
      <c r="K189" s="67"/>
      <c r="L189" s="59"/>
    </row>
    <row r="190" spans="2:27">
      <c r="B190" s="47" t="s">
        <v>5204</v>
      </c>
      <c r="C190" s="44" t="s">
        <v>2878</v>
      </c>
      <c r="D190" s="58"/>
      <c r="E190" s="66"/>
      <c r="F190" s="66"/>
      <c r="G190" s="66"/>
      <c r="H190" s="66"/>
      <c r="I190" s="66"/>
      <c r="J190" s="66"/>
      <c r="K190" s="66"/>
      <c r="L190" s="57"/>
    </row>
    <row r="191" spans="2:27">
      <c r="B191" s="49" t="s">
        <v>5124</v>
      </c>
      <c r="C191" s="44" t="s">
        <v>5205</v>
      </c>
      <c r="D191" s="48"/>
      <c r="E191" s="60"/>
      <c r="F191" s="60"/>
      <c r="G191" s="70"/>
      <c r="H191" s="51"/>
      <c r="I191" s="60"/>
      <c r="J191" s="60"/>
      <c r="K191" s="60"/>
      <c r="L191" s="60"/>
    </row>
    <row r="192" spans="2:27">
      <c r="B192" s="49" t="s">
        <v>5125</v>
      </c>
      <c r="C192" s="44" t="s">
        <v>5206</v>
      </c>
      <c r="D192" s="48"/>
      <c r="E192" s="60"/>
      <c r="F192" s="60"/>
      <c r="G192" s="70"/>
      <c r="H192" s="51"/>
      <c r="I192" s="60"/>
      <c r="J192" s="60"/>
      <c r="K192" s="60"/>
      <c r="L192" s="60"/>
    </row>
    <row r="193" spans="2:12">
      <c r="B193" s="49" t="s">
        <v>5174</v>
      </c>
      <c r="C193" s="44" t="s">
        <v>5207</v>
      </c>
      <c r="D193" s="48"/>
      <c r="E193" s="60"/>
      <c r="F193" s="60"/>
      <c r="G193" s="70"/>
      <c r="H193" s="51"/>
      <c r="I193" s="60"/>
      <c r="J193" s="60"/>
      <c r="K193" s="60"/>
      <c r="L193" s="60"/>
    </row>
    <row r="194" spans="2:12">
      <c r="B194" s="49" t="s">
        <v>5126</v>
      </c>
      <c r="C194" s="44" t="s">
        <v>5208</v>
      </c>
      <c r="D194" s="48"/>
      <c r="E194" s="60"/>
      <c r="F194" s="60"/>
      <c r="G194" s="70"/>
      <c r="H194" s="51"/>
      <c r="I194" s="60"/>
      <c r="J194" s="60"/>
      <c r="K194" s="60"/>
      <c r="L194" s="60"/>
    </row>
    <row r="195" spans="2:12">
      <c r="B195" s="49" t="s">
        <v>5127</v>
      </c>
      <c r="C195" s="44" t="s">
        <v>3504</v>
      </c>
      <c r="D195" s="48"/>
      <c r="E195" s="60"/>
      <c r="F195" s="60"/>
      <c r="G195" s="70"/>
      <c r="H195" s="51"/>
      <c r="I195" s="60"/>
      <c r="J195" s="60"/>
      <c r="K195" s="60"/>
      <c r="L195" s="60"/>
    </row>
    <row r="196" spans="2:12" ht="30">
      <c r="B196" s="49" t="s">
        <v>5131</v>
      </c>
      <c r="C196" s="44" t="s">
        <v>5209</v>
      </c>
      <c r="D196" s="48"/>
      <c r="E196" s="60"/>
      <c r="F196" s="60"/>
      <c r="G196" s="70"/>
      <c r="H196" s="51"/>
      <c r="I196" s="60"/>
      <c r="J196" s="60"/>
      <c r="K196" s="60"/>
      <c r="L196" s="60"/>
    </row>
    <row r="197" spans="2:12">
      <c r="B197" s="49" t="s">
        <v>5132</v>
      </c>
      <c r="C197" s="44" t="s">
        <v>5210</v>
      </c>
      <c r="D197" s="48"/>
      <c r="E197" s="60"/>
      <c r="F197" s="60"/>
      <c r="G197" s="70"/>
      <c r="H197" s="51"/>
      <c r="I197" s="60"/>
      <c r="J197" s="60"/>
      <c r="K197" s="60"/>
      <c r="L197" s="60"/>
    </row>
    <row r="198" spans="2:12">
      <c r="B198" s="49" t="s">
        <v>5133</v>
      </c>
      <c r="C198" s="44" t="s">
        <v>5211</v>
      </c>
      <c r="D198" s="48"/>
      <c r="E198" s="60"/>
      <c r="F198" s="60"/>
      <c r="G198" s="70"/>
      <c r="H198" s="51"/>
      <c r="I198" s="60"/>
      <c r="J198" s="60"/>
      <c r="K198" s="60"/>
      <c r="L198" s="60"/>
    </row>
    <row r="199" spans="2:12">
      <c r="B199" s="49" t="s">
        <v>5178</v>
      </c>
      <c r="C199" s="44" t="s">
        <v>5212</v>
      </c>
      <c r="D199" s="48"/>
      <c r="E199" s="60"/>
      <c r="F199" s="60"/>
      <c r="G199" s="70"/>
      <c r="H199" s="51"/>
      <c r="I199" s="60"/>
      <c r="J199" s="60"/>
      <c r="K199" s="60"/>
      <c r="L199" s="60"/>
    </row>
    <row r="200" spans="2:12">
      <c r="B200" s="49" t="s">
        <v>5139</v>
      </c>
      <c r="C200" s="44" t="s">
        <v>5213</v>
      </c>
      <c r="D200" s="48"/>
      <c r="E200" s="60"/>
      <c r="F200" s="60"/>
      <c r="G200" s="70"/>
      <c r="H200" s="51"/>
      <c r="I200" s="60"/>
      <c r="J200" s="60"/>
      <c r="K200" s="60"/>
      <c r="L200" s="60"/>
    </row>
    <row r="201" spans="2:12">
      <c r="B201" s="49" t="s">
        <v>5181</v>
      </c>
      <c r="C201" s="44" t="s">
        <v>5214</v>
      </c>
      <c r="D201" s="48"/>
      <c r="E201" s="60"/>
      <c r="F201" s="60"/>
      <c r="G201" s="70"/>
      <c r="H201" s="51"/>
      <c r="I201" s="60"/>
      <c r="J201" s="60"/>
      <c r="K201" s="60"/>
      <c r="L201" s="60"/>
    </row>
    <row r="202" spans="2:12">
      <c r="B202" s="49" t="s">
        <v>5182</v>
      </c>
      <c r="C202" s="44" t="s">
        <v>5215</v>
      </c>
      <c r="D202" s="48"/>
      <c r="E202" s="60"/>
      <c r="F202" s="60"/>
      <c r="G202" s="70"/>
      <c r="H202" s="51"/>
      <c r="I202" s="60"/>
      <c r="J202" s="60"/>
      <c r="K202" s="60"/>
      <c r="L202" s="60"/>
    </row>
    <row r="203" spans="2:12">
      <c r="B203" s="49" t="s">
        <v>5129</v>
      </c>
      <c r="C203" s="44" t="s">
        <v>5216</v>
      </c>
      <c r="D203" s="48"/>
      <c r="E203" s="60"/>
      <c r="F203" s="60"/>
      <c r="G203" s="70"/>
      <c r="H203" s="51"/>
      <c r="I203" s="60"/>
      <c r="J203" s="60"/>
      <c r="K203" s="60"/>
      <c r="L203" s="60"/>
    </row>
    <row r="204" spans="2:12">
      <c r="B204" s="49" t="s">
        <v>5144</v>
      </c>
      <c r="C204" s="44" t="s">
        <v>5217</v>
      </c>
      <c r="D204" s="48"/>
      <c r="E204" s="60"/>
      <c r="F204" s="60"/>
      <c r="G204" s="70"/>
      <c r="H204" s="68"/>
      <c r="I204" s="60"/>
      <c r="J204" s="60"/>
      <c r="K204" s="60"/>
      <c r="L204" s="60"/>
    </row>
    <row r="205" spans="2:12">
      <c r="B205" s="49" t="s">
        <v>5218</v>
      </c>
      <c r="C205" s="44" t="s">
        <v>4947</v>
      </c>
      <c r="D205" s="46"/>
      <c r="E205" s="63"/>
      <c r="F205" s="63"/>
      <c r="G205" s="78"/>
      <c r="H205" s="48"/>
      <c r="I205" s="63"/>
      <c r="J205" s="63"/>
      <c r="K205" s="63"/>
      <c r="L205" s="63"/>
    </row>
    <row r="206" spans="2:12">
      <c r="B206" s="49" t="s">
        <v>5150</v>
      </c>
      <c r="C206" s="41" t="s">
        <v>3521</v>
      </c>
      <c r="D206" s="64"/>
      <c r="E206" s="58"/>
      <c r="F206" s="58"/>
      <c r="G206" s="58"/>
      <c r="H206" s="58"/>
      <c r="I206" s="58"/>
      <c r="J206" s="58"/>
      <c r="K206" s="58"/>
      <c r="L206" s="48"/>
    </row>
    <row r="207" spans="2:12">
      <c r="B207" s="49" t="s">
        <v>5151</v>
      </c>
      <c r="C207" s="41" t="s">
        <v>3522</v>
      </c>
      <c r="D207" s="64"/>
      <c r="E207" s="58"/>
      <c r="F207" s="58"/>
      <c r="G207" s="58"/>
      <c r="H207" s="58"/>
      <c r="I207" s="58"/>
      <c r="J207" s="58"/>
      <c r="K207" s="58"/>
      <c r="L207" s="48"/>
    </row>
    <row r="208" spans="2:12">
      <c r="B208" s="49" t="s">
        <v>5152</v>
      </c>
      <c r="C208" s="41" t="s">
        <v>5219</v>
      </c>
      <c r="D208" s="64"/>
      <c r="E208" s="58"/>
      <c r="F208" s="58"/>
      <c r="G208" s="58"/>
      <c r="H208" s="58"/>
      <c r="I208" s="58"/>
      <c r="J208" s="58"/>
      <c r="K208" s="58"/>
      <c r="L208" s="48"/>
    </row>
    <row r="209" spans="2:12">
      <c r="B209" s="49" t="s">
        <v>5153</v>
      </c>
      <c r="C209" s="41" t="s">
        <v>5220</v>
      </c>
      <c r="D209" s="64"/>
      <c r="E209" s="58"/>
      <c r="F209" s="58"/>
      <c r="G209" s="58"/>
      <c r="H209" s="58"/>
      <c r="I209" s="58"/>
      <c r="J209" s="58"/>
      <c r="K209" s="58"/>
      <c r="L209" s="48"/>
    </row>
    <row r="210" spans="2:12">
      <c r="B210" s="49" t="s">
        <v>5154</v>
      </c>
      <c r="C210" s="41" t="s">
        <v>5221</v>
      </c>
      <c r="D210" s="64"/>
      <c r="E210" s="58"/>
      <c r="F210" s="58"/>
      <c r="G210" s="58"/>
      <c r="H210" s="58"/>
      <c r="I210" s="58"/>
      <c r="J210" s="58"/>
      <c r="K210" s="58"/>
      <c r="L210" s="48"/>
    </row>
    <row r="211" spans="2:12">
      <c r="B211" s="49" t="s">
        <v>5155</v>
      </c>
      <c r="C211" s="41" t="s">
        <v>5222</v>
      </c>
      <c r="D211" s="64"/>
      <c r="E211" s="58"/>
      <c r="F211" s="58"/>
      <c r="G211" s="58"/>
      <c r="H211" s="58"/>
      <c r="I211" s="58"/>
      <c r="J211" s="58"/>
      <c r="K211" s="58"/>
      <c r="L211" s="48"/>
    </row>
    <row r="212" spans="2:12">
      <c r="B212" s="49" t="s">
        <v>5156</v>
      </c>
      <c r="C212" s="41" t="s">
        <v>5223</v>
      </c>
      <c r="D212" s="64"/>
      <c r="E212" s="58"/>
      <c r="F212" s="58"/>
      <c r="G212" s="58"/>
      <c r="H212" s="58"/>
      <c r="I212" s="58"/>
      <c r="J212" s="58"/>
      <c r="K212" s="58"/>
      <c r="L212" s="48"/>
    </row>
    <row r="213" spans="2:12">
      <c r="B213" s="49" t="s">
        <v>5157</v>
      </c>
      <c r="C213" s="41" t="s">
        <v>5224</v>
      </c>
      <c r="D213" s="64"/>
      <c r="E213" s="58"/>
      <c r="F213" s="58"/>
      <c r="G213" s="58"/>
      <c r="H213" s="58"/>
      <c r="I213" s="58"/>
      <c r="J213" s="58"/>
      <c r="K213" s="58"/>
      <c r="L213" s="48"/>
    </row>
    <row r="214" spans="2:12">
      <c r="B214" s="49" t="s">
        <v>5158</v>
      </c>
      <c r="C214" s="41" t="s">
        <v>5225</v>
      </c>
      <c r="D214" s="64"/>
      <c r="E214" s="58"/>
      <c r="F214" s="58"/>
      <c r="G214" s="58"/>
      <c r="H214" s="58"/>
      <c r="I214" s="58"/>
      <c r="J214" s="58"/>
      <c r="K214" s="58"/>
      <c r="L214" s="48"/>
    </row>
    <row r="215" spans="2:12">
      <c r="B215" s="49" t="s">
        <v>5159</v>
      </c>
      <c r="C215" s="41" t="s">
        <v>3523</v>
      </c>
      <c r="D215" s="64"/>
      <c r="E215" s="58"/>
      <c r="F215" s="58"/>
      <c r="G215" s="58"/>
      <c r="H215" s="58"/>
      <c r="I215" s="58"/>
      <c r="J215" s="58"/>
      <c r="K215" s="58"/>
      <c r="L215" s="48"/>
    </row>
    <row r="216" spans="2:12">
      <c r="B216" s="49" t="s">
        <v>5160</v>
      </c>
      <c r="C216" s="41" t="s">
        <v>3524</v>
      </c>
      <c r="D216" s="64"/>
      <c r="E216" s="58"/>
      <c r="F216" s="58"/>
      <c r="G216" s="58"/>
      <c r="H216" s="58"/>
      <c r="I216" s="58"/>
      <c r="J216" s="58"/>
      <c r="K216" s="58"/>
      <c r="L216" s="48"/>
    </row>
    <row r="217" spans="2:12">
      <c r="B217" s="49" t="s">
        <v>5161</v>
      </c>
      <c r="C217" s="41" t="s">
        <v>3525</v>
      </c>
      <c r="D217" s="64"/>
      <c r="E217" s="58"/>
      <c r="F217" s="58"/>
      <c r="G217" s="58"/>
      <c r="H217" s="58"/>
      <c r="I217" s="58"/>
      <c r="J217" s="58"/>
      <c r="K217" s="58"/>
      <c r="L217" s="48"/>
    </row>
    <row r="218" spans="2:12">
      <c r="B218" s="49" t="s">
        <v>5162</v>
      </c>
      <c r="C218" s="41" t="s">
        <v>4953</v>
      </c>
      <c r="D218" s="64"/>
      <c r="E218" s="58"/>
      <c r="F218" s="58"/>
      <c r="G218" s="58"/>
      <c r="H218" s="58"/>
      <c r="I218" s="58"/>
      <c r="J218" s="58"/>
      <c r="K218" s="58"/>
      <c r="L218" s="48"/>
    </row>
    <row r="219" spans="2:12">
      <c r="B219" s="49" t="s">
        <v>5163</v>
      </c>
      <c r="C219" s="41" t="s">
        <v>4955</v>
      </c>
      <c r="D219" s="64"/>
      <c r="E219" s="58"/>
      <c r="F219" s="58"/>
      <c r="G219" s="58"/>
      <c r="H219" s="58"/>
      <c r="I219" s="58"/>
      <c r="J219" s="58"/>
      <c r="K219" s="58"/>
      <c r="L219" s="48"/>
    </row>
    <row r="220" spans="2:12">
      <c r="B220" s="49" t="s">
        <v>5164</v>
      </c>
      <c r="C220" s="41" t="s">
        <v>5226</v>
      </c>
      <c r="D220" s="64"/>
      <c r="E220" s="58"/>
      <c r="F220" s="58"/>
      <c r="G220" s="58"/>
      <c r="H220" s="58"/>
      <c r="I220" s="58"/>
      <c r="J220" s="58"/>
      <c r="K220" s="58"/>
      <c r="L220" s="48"/>
    </row>
    <row r="221" spans="2:12">
      <c r="B221" s="49" t="s">
        <v>5165</v>
      </c>
      <c r="C221" s="41" t="s">
        <v>5227</v>
      </c>
      <c r="D221" s="64"/>
      <c r="E221" s="58"/>
      <c r="F221" s="58"/>
      <c r="G221" s="58"/>
      <c r="H221" s="58"/>
      <c r="I221" s="58"/>
      <c r="J221" s="58"/>
      <c r="K221" s="58"/>
      <c r="L221" s="48"/>
    </row>
    <row r="222" spans="2:12">
      <c r="B222" s="49" t="s">
        <v>5166</v>
      </c>
      <c r="C222" s="41" t="s">
        <v>5228</v>
      </c>
      <c r="D222" s="64"/>
      <c r="E222" s="58"/>
      <c r="F222" s="58"/>
      <c r="G222" s="58"/>
      <c r="H222" s="58"/>
      <c r="I222" s="58"/>
      <c r="J222" s="58"/>
      <c r="K222" s="58"/>
      <c r="L222" s="48"/>
    </row>
    <row r="223" spans="2:12">
      <c r="B223" s="49" t="s">
        <v>5167</v>
      </c>
      <c r="C223" s="41" t="s">
        <v>5229</v>
      </c>
      <c r="D223" s="64"/>
      <c r="E223" s="58"/>
      <c r="F223" s="58"/>
      <c r="G223" s="58"/>
      <c r="H223" s="58"/>
      <c r="I223" s="56"/>
      <c r="J223" s="56"/>
      <c r="K223" s="56"/>
      <c r="L223" s="46"/>
    </row>
    <row r="224" spans="2:12">
      <c r="B224" s="49" t="s">
        <v>5230</v>
      </c>
      <c r="C224" s="41" t="s">
        <v>5231</v>
      </c>
      <c r="D224" s="65"/>
      <c r="E224" s="58"/>
      <c r="F224" s="58"/>
      <c r="G224" s="58"/>
      <c r="H224" s="48"/>
      <c r="I224" s="60"/>
      <c r="J224" s="60"/>
      <c r="K224" s="60"/>
      <c r="L224" s="60"/>
    </row>
    <row r="225" spans="2:27">
      <c r="B225" s="49" t="s">
        <v>5232</v>
      </c>
      <c r="C225" s="44" t="s">
        <v>3526</v>
      </c>
      <c r="D225" s="58"/>
      <c r="E225" s="58"/>
      <c r="F225" s="58"/>
      <c r="G225" s="58"/>
      <c r="H225" s="48"/>
      <c r="I225" s="60"/>
      <c r="J225" s="63"/>
      <c r="K225" s="63"/>
      <c r="L225" s="60"/>
    </row>
    <row r="226" spans="2:27">
      <c r="B226" s="49" t="s">
        <v>5170</v>
      </c>
      <c r="C226" s="44" t="s">
        <v>3527</v>
      </c>
      <c r="D226" s="58"/>
      <c r="E226" s="58"/>
      <c r="F226" s="58"/>
      <c r="G226" s="58"/>
      <c r="H226" s="48"/>
      <c r="I226" s="64"/>
      <c r="J226" s="58"/>
      <c r="K226" s="48"/>
      <c r="L226" s="60"/>
    </row>
    <row r="227" spans="2:27">
      <c r="B227" s="49" t="s">
        <v>5233</v>
      </c>
      <c r="C227" s="44" t="s">
        <v>3528</v>
      </c>
      <c r="D227" s="56"/>
      <c r="E227" s="56"/>
      <c r="F227" s="56"/>
      <c r="G227" s="56"/>
      <c r="H227" s="46"/>
      <c r="I227" s="64"/>
      <c r="J227" s="56"/>
      <c r="K227" s="46"/>
      <c r="L227" s="60"/>
    </row>
    <row r="229" spans="2:27">
      <c r="Z229" s="13" t="str">
        <f>Show!$B$158&amp;Show!$B$158&amp;"SR.27.01.01.04 Rows {"&amp;COLUMN($C$1)&amp;"}"</f>
        <v>!!SR.27.01.01.04 Rows {3}</v>
      </c>
      <c r="AA229" s="13" t="str">
        <f>Show!$B$158&amp;Show!$B$158&amp;"SR.27.01.01.04 Columns {"&amp;COLUMN($L$1)&amp;"}"</f>
        <v>!!SR.27.01.01.04 Columns {12}</v>
      </c>
    </row>
    <row r="231" spans="2:27" ht="18.75">
      <c r="B231" s="88" t="s">
        <v>5578</v>
      </c>
      <c r="C231" s="87"/>
      <c r="D231" s="87"/>
      <c r="E231" s="87"/>
      <c r="F231" s="87"/>
      <c r="G231" s="87"/>
      <c r="H231" s="87"/>
      <c r="I231" s="87"/>
      <c r="J231" s="87"/>
      <c r="K231" s="87"/>
      <c r="L231" s="87"/>
    </row>
    <row r="233" spans="2:27">
      <c r="B233" t="s">
        <v>3110</v>
      </c>
      <c r="Z233" s="13" t="str">
        <f>Show!$B$158&amp;"SR.27.01.01.05 Table label {"&amp;COLUMN($C$1)&amp;"}"</f>
        <v>!SR.27.01.01.05 Table label {3}</v>
      </c>
      <c r="AA233" s="13" t="str">
        <f>Show!$B$158&amp;"SR.27.01.01.05 Table value {"&amp;COLUMN($D$1)&amp;"}"</f>
        <v>!SR.27.01.01.05 Table value {4}</v>
      </c>
    </row>
    <row r="234" spans="2:27">
      <c r="B234" t="s">
        <v>3111</v>
      </c>
    </row>
    <row r="235" spans="2:27">
      <c r="B235" s="40" t="s">
        <v>3788</v>
      </c>
      <c r="C235" s="53" t="s">
        <v>3115</v>
      </c>
      <c r="D235" s="51"/>
    </row>
    <row r="236" spans="2:27">
      <c r="B236" s="40" t="s">
        <v>3114</v>
      </c>
      <c r="C236" s="53" t="s">
        <v>3323</v>
      </c>
      <c r="D236" s="50"/>
    </row>
    <row r="237" spans="2:27">
      <c r="Z237" s="13" t="str">
        <f>Show!$B$158&amp;Show!$B$158&amp;"SR.27.01.01.05 Table label {"&amp;COLUMN($C$1)&amp;"}"</f>
        <v>!!SR.27.01.01.05 Table label {3}</v>
      </c>
      <c r="AA237" s="13" t="str">
        <f>Show!$B$158&amp;Show!$B$158&amp;"SR.27.01.01.05 Table value {"&amp;COLUMN($D$1)&amp;"}"</f>
        <v>!!SR.27.01.01.05 Table value {4}</v>
      </c>
    </row>
    <row r="239" spans="2:27">
      <c r="D239" s="92" t="s">
        <v>2877</v>
      </c>
      <c r="E239" s="93"/>
      <c r="F239" s="93"/>
      <c r="G239" s="93"/>
      <c r="H239" s="93"/>
      <c r="I239" s="93"/>
      <c r="J239" s="93"/>
      <c r="K239" s="93"/>
      <c r="L239" s="94"/>
    </row>
    <row r="240" spans="2:27">
      <c r="D240" s="95"/>
      <c r="E240" s="96"/>
      <c r="F240" s="96"/>
      <c r="G240" s="96"/>
      <c r="H240" s="96"/>
      <c r="I240" s="96"/>
      <c r="J240" s="96"/>
      <c r="K240" s="96"/>
      <c r="L240" s="97"/>
    </row>
    <row r="241" spans="2:27">
      <c r="D241" s="89" t="s">
        <v>5114</v>
      </c>
      <c r="E241" s="89" t="s">
        <v>5115</v>
      </c>
      <c r="F241" s="89" t="s">
        <v>5116</v>
      </c>
      <c r="G241" s="89" t="s">
        <v>5117</v>
      </c>
      <c r="H241" s="89" t="s">
        <v>5118</v>
      </c>
      <c r="I241" s="89" t="s">
        <v>5119</v>
      </c>
      <c r="J241" s="89" t="s">
        <v>5120</v>
      </c>
      <c r="K241" s="89" t="s">
        <v>5121</v>
      </c>
      <c r="L241" s="89" t="s">
        <v>5122</v>
      </c>
    </row>
    <row r="242" spans="2:27">
      <c r="D242" s="91"/>
      <c r="E242" s="91"/>
      <c r="F242" s="91"/>
      <c r="G242" s="91"/>
      <c r="H242" s="91"/>
      <c r="I242" s="91"/>
      <c r="J242" s="91"/>
      <c r="K242" s="91"/>
      <c r="L242" s="91"/>
    </row>
    <row r="243" spans="2:27">
      <c r="D243" s="45" t="s">
        <v>3519</v>
      </c>
      <c r="E243" s="45" t="s">
        <v>3612</v>
      </c>
      <c r="F243" s="45" t="s">
        <v>3614</v>
      </c>
      <c r="G243" s="45" t="s">
        <v>3616</v>
      </c>
      <c r="H243" s="45" t="s">
        <v>3618</v>
      </c>
      <c r="I243" s="45" t="s">
        <v>3620</v>
      </c>
      <c r="J243" s="45" t="s">
        <v>3622</v>
      </c>
      <c r="K243" s="45" t="s">
        <v>3624</v>
      </c>
      <c r="L243" s="45" t="s">
        <v>3626</v>
      </c>
      <c r="Z243" s="13" t="str">
        <f>Show!$B$158&amp;"SR.27.01.01.05 Rows {"&amp;COLUMN($C$1)&amp;"}"&amp;"@ForceFilingCode:true"</f>
        <v>!SR.27.01.01.05 Rows {3}@ForceFilingCode:true</v>
      </c>
      <c r="AA243" s="13" t="str">
        <f>Show!$B$158&amp;"SR.27.01.01.05 Columns {"&amp;COLUMN($D$1)&amp;"}"</f>
        <v>!SR.27.01.01.05 Columns {4}</v>
      </c>
    </row>
    <row r="244" spans="2:27">
      <c r="B244" s="43" t="s">
        <v>2880</v>
      </c>
      <c r="C244" s="44" t="s">
        <v>2878</v>
      </c>
      <c r="D244" s="58"/>
      <c r="E244" s="67"/>
      <c r="F244" s="67"/>
      <c r="G244" s="67"/>
      <c r="H244" s="67"/>
      <c r="I244" s="67"/>
      <c r="J244" s="67"/>
      <c r="K244" s="67"/>
      <c r="L244" s="59"/>
    </row>
    <row r="245" spans="2:27">
      <c r="B245" s="47" t="s">
        <v>5235</v>
      </c>
      <c r="C245" s="44" t="s">
        <v>2878</v>
      </c>
      <c r="D245" s="58"/>
      <c r="E245" s="66"/>
      <c r="F245" s="66"/>
      <c r="G245" s="66"/>
      <c r="H245" s="66"/>
      <c r="I245" s="66"/>
      <c r="J245" s="66"/>
      <c r="K245" s="66"/>
      <c r="L245" s="57"/>
    </row>
    <row r="246" spans="2:27">
      <c r="B246" s="49" t="s">
        <v>5124</v>
      </c>
      <c r="C246" s="44" t="s">
        <v>5236</v>
      </c>
      <c r="D246" s="48"/>
      <c r="E246" s="60"/>
      <c r="F246" s="60"/>
      <c r="G246" s="70"/>
      <c r="H246" s="51"/>
      <c r="I246" s="60"/>
      <c r="J246" s="60"/>
      <c r="K246" s="60"/>
      <c r="L246" s="60"/>
    </row>
    <row r="247" spans="2:27">
      <c r="B247" s="49" t="s">
        <v>5125</v>
      </c>
      <c r="C247" s="44" t="s">
        <v>5237</v>
      </c>
      <c r="D247" s="48"/>
      <c r="E247" s="60"/>
      <c r="F247" s="60"/>
      <c r="G247" s="70"/>
      <c r="H247" s="51"/>
      <c r="I247" s="60"/>
      <c r="J247" s="60"/>
      <c r="K247" s="60"/>
      <c r="L247" s="60"/>
    </row>
    <row r="248" spans="2:27">
      <c r="B248" s="49" t="s">
        <v>5126</v>
      </c>
      <c r="C248" s="44" t="s">
        <v>5238</v>
      </c>
      <c r="D248" s="48"/>
      <c r="E248" s="60"/>
      <c r="F248" s="60"/>
      <c r="G248" s="70"/>
      <c r="H248" s="51"/>
      <c r="I248" s="60"/>
      <c r="J248" s="60"/>
      <c r="K248" s="60"/>
      <c r="L248" s="60"/>
    </row>
    <row r="249" spans="2:27">
      <c r="B249" s="49" t="s">
        <v>5127</v>
      </c>
      <c r="C249" s="44" t="s">
        <v>5239</v>
      </c>
      <c r="D249" s="48"/>
      <c r="E249" s="60"/>
      <c r="F249" s="60"/>
      <c r="G249" s="70"/>
      <c r="H249" s="51"/>
      <c r="I249" s="60"/>
      <c r="J249" s="60"/>
      <c r="K249" s="60"/>
      <c r="L249" s="60"/>
    </row>
    <row r="250" spans="2:27" ht="30">
      <c r="B250" s="49" t="s">
        <v>5131</v>
      </c>
      <c r="C250" s="44" t="s">
        <v>5240</v>
      </c>
      <c r="D250" s="48"/>
      <c r="E250" s="60"/>
      <c r="F250" s="60"/>
      <c r="G250" s="70"/>
      <c r="H250" s="51"/>
      <c r="I250" s="60"/>
      <c r="J250" s="60"/>
      <c r="K250" s="60"/>
      <c r="L250" s="60"/>
    </row>
    <row r="251" spans="2:27">
      <c r="B251" s="49" t="s">
        <v>5132</v>
      </c>
      <c r="C251" s="44" t="s">
        <v>5241</v>
      </c>
      <c r="D251" s="48"/>
      <c r="E251" s="60"/>
      <c r="F251" s="60"/>
      <c r="G251" s="70"/>
      <c r="H251" s="51"/>
      <c r="I251" s="60"/>
      <c r="J251" s="60"/>
      <c r="K251" s="60"/>
      <c r="L251" s="60"/>
    </row>
    <row r="252" spans="2:27">
      <c r="B252" s="49" t="s">
        <v>5178</v>
      </c>
      <c r="C252" s="44" t="s">
        <v>5242</v>
      </c>
      <c r="D252" s="48"/>
      <c r="E252" s="60"/>
      <c r="F252" s="60"/>
      <c r="G252" s="70"/>
      <c r="H252" s="51"/>
      <c r="I252" s="60"/>
      <c r="J252" s="60"/>
      <c r="K252" s="60"/>
      <c r="L252" s="60"/>
    </row>
    <row r="253" spans="2:27">
      <c r="B253" s="49" t="s">
        <v>5136</v>
      </c>
      <c r="C253" s="44" t="s">
        <v>5243</v>
      </c>
      <c r="D253" s="48"/>
      <c r="E253" s="60"/>
      <c r="F253" s="60"/>
      <c r="G253" s="70"/>
      <c r="H253" s="51"/>
      <c r="I253" s="60"/>
      <c r="J253" s="60"/>
      <c r="K253" s="60"/>
      <c r="L253" s="60"/>
    </row>
    <row r="254" spans="2:27">
      <c r="B254" s="49" t="s">
        <v>5137</v>
      </c>
      <c r="C254" s="44" t="s">
        <v>3529</v>
      </c>
      <c r="D254" s="48"/>
      <c r="E254" s="60"/>
      <c r="F254" s="60"/>
      <c r="G254" s="70"/>
      <c r="H254" s="51"/>
      <c r="I254" s="60"/>
      <c r="J254" s="60"/>
      <c r="K254" s="60"/>
      <c r="L254" s="60"/>
    </row>
    <row r="255" spans="2:27">
      <c r="B255" s="49" t="s">
        <v>5129</v>
      </c>
      <c r="C255" s="44" t="s">
        <v>5244</v>
      </c>
      <c r="D255" s="48"/>
      <c r="E255" s="60"/>
      <c r="F255" s="60"/>
      <c r="G255" s="70"/>
      <c r="H255" s="51"/>
      <c r="I255" s="60"/>
      <c r="J255" s="60"/>
      <c r="K255" s="60"/>
      <c r="L255" s="60"/>
    </row>
    <row r="256" spans="2:27">
      <c r="B256" s="49" t="s">
        <v>5142</v>
      </c>
      <c r="C256" s="44" t="s">
        <v>3530</v>
      </c>
      <c r="D256" s="48"/>
      <c r="E256" s="60"/>
      <c r="F256" s="60"/>
      <c r="G256" s="70"/>
      <c r="H256" s="68"/>
      <c r="I256" s="60"/>
      <c r="J256" s="60"/>
      <c r="K256" s="60"/>
      <c r="L256" s="60"/>
    </row>
    <row r="257" spans="2:12">
      <c r="B257" s="49" t="s">
        <v>5245</v>
      </c>
      <c r="C257" s="44" t="s">
        <v>3531</v>
      </c>
      <c r="D257" s="46"/>
      <c r="E257" s="63"/>
      <c r="F257" s="63"/>
      <c r="G257" s="78"/>
      <c r="H257" s="48"/>
      <c r="I257" s="63"/>
      <c r="J257" s="63"/>
      <c r="K257" s="63"/>
      <c r="L257" s="63"/>
    </row>
    <row r="258" spans="2:12">
      <c r="B258" s="49" t="s">
        <v>5150</v>
      </c>
      <c r="C258" s="41" t="s">
        <v>5246</v>
      </c>
      <c r="D258" s="64"/>
      <c r="E258" s="58"/>
      <c r="F258" s="58"/>
      <c r="G258" s="58"/>
      <c r="H258" s="58"/>
      <c r="I258" s="58"/>
      <c r="J258" s="58"/>
      <c r="K258" s="58"/>
      <c r="L258" s="48"/>
    </row>
    <row r="259" spans="2:12">
      <c r="B259" s="49" t="s">
        <v>5151</v>
      </c>
      <c r="C259" s="41" t="s">
        <v>5247</v>
      </c>
      <c r="D259" s="64"/>
      <c r="E259" s="58"/>
      <c r="F259" s="58"/>
      <c r="G259" s="58"/>
      <c r="H259" s="58"/>
      <c r="I259" s="58"/>
      <c r="J259" s="58"/>
      <c r="K259" s="58"/>
      <c r="L259" s="48"/>
    </row>
    <row r="260" spans="2:12">
      <c r="B260" s="49" t="s">
        <v>5152</v>
      </c>
      <c r="C260" s="41" t="s">
        <v>5248</v>
      </c>
      <c r="D260" s="64"/>
      <c r="E260" s="58"/>
      <c r="F260" s="58"/>
      <c r="G260" s="58"/>
      <c r="H260" s="58"/>
      <c r="I260" s="58"/>
      <c r="J260" s="58"/>
      <c r="K260" s="58"/>
      <c r="L260" s="48"/>
    </row>
    <row r="261" spans="2:12">
      <c r="B261" s="49" t="s">
        <v>5153</v>
      </c>
      <c r="C261" s="41" t="s">
        <v>5249</v>
      </c>
      <c r="D261" s="64"/>
      <c r="E261" s="58"/>
      <c r="F261" s="58"/>
      <c r="G261" s="58"/>
      <c r="H261" s="58"/>
      <c r="I261" s="58"/>
      <c r="J261" s="58"/>
      <c r="K261" s="58"/>
      <c r="L261" s="48"/>
    </row>
    <row r="262" spans="2:12">
      <c r="B262" s="49" t="s">
        <v>5154</v>
      </c>
      <c r="C262" s="41" t="s">
        <v>5250</v>
      </c>
      <c r="D262" s="64"/>
      <c r="E262" s="58"/>
      <c r="F262" s="58"/>
      <c r="G262" s="58"/>
      <c r="H262" s="58"/>
      <c r="I262" s="58"/>
      <c r="J262" s="58"/>
      <c r="K262" s="58"/>
      <c r="L262" s="48"/>
    </row>
    <row r="263" spans="2:12">
      <c r="B263" s="49" t="s">
        <v>5155</v>
      </c>
      <c r="C263" s="41" t="s">
        <v>5251</v>
      </c>
      <c r="D263" s="64"/>
      <c r="E263" s="58"/>
      <c r="F263" s="58"/>
      <c r="G263" s="58"/>
      <c r="H263" s="58"/>
      <c r="I263" s="58"/>
      <c r="J263" s="58"/>
      <c r="K263" s="58"/>
      <c r="L263" s="48"/>
    </row>
    <row r="264" spans="2:12">
      <c r="B264" s="49" t="s">
        <v>5156</v>
      </c>
      <c r="C264" s="41" t="s">
        <v>5252</v>
      </c>
      <c r="D264" s="64"/>
      <c r="E264" s="58"/>
      <c r="F264" s="58"/>
      <c r="G264" s="58"/>
      <c r="H264" s="58"/>
      <c r="I264" s="58"/>
      <c r="J264" s="58"/>
      <c r="K264" s="58"/>
      <c r="L264" s="48"/>
    </row>
    <row r="265" spans="2:12">
      <c r="B265" s="49" t="s">
        <v>5157</v>
      </c>
      <c r="C265" s="41" t="s">
        <v>3532</v>
      </c>
      <c r="D265" s="64"/>
      <c r="E265" s="58"/>
      <c r="F265" s="58"/>
      <c r="G265" s="58"/>
      <c r="H265" s="58"/>
      <c r="I265" s="58"/>
      <c r="J265" s="58"/>
      <c r="K265" s="58"/>
      <c r="L265" s="48"/>
    </row>
    <row r="266" spans="2:12">
      <c r="B266" s="49" t="s">
        <v>5158</v>
      </c>
      <c r="C266" s="41" t="s">
        <v>5253</v>
      </c>
      <c r="D266" s="64"/>
      <c r="E266" s="58"/>
      <c r="F266" s="58"/>
      <c r="G266" s="58"/>
      <c r="H266" s="58"/>
      <c r="I266" s="58"/>
      <c r="J266" s="58"/>
      <c r="K266" s="58"/>
      <c r="L266" s="48"/>
    </row>
    <row r="267" spans="2:12">
      <c r="B267" s="49" t="s">
        <v>5159</v>
      </c>
      <c r="C267" s="41" t="s">
        <v>5254</v>
      </c>
      <c r="D267" s="64"/>
      <c r="E267" s="58"/>
      <c r="F267" s="58"/>
      <c r="G267" s="58"/>
      <c r="H267" s="58"/>
      <c r="I267" s="58"/>
      <c r="J267" s="58"/>
      <c r="K267" s="58"/>
      <c r="L267" s="48"/>
    </row>
    <row r="268" spans="2:12">
      <c r="B268" s="49" t="s">
        <v>5160</v>
      </c>
      <c r="C268" s="41" t="s">
        <v>5255</v>
      </c>
      <c r="D268" s="64"/>
      <c r="E268" s="58"/>
      <c r="F268" s="58"/>
      <c r="G268" s="58"/>
      <c r="H268" s="58"/>
      <c r="I268" s="58"/>
      <c r="J268" s="58"/>
      <c r="K268" s="58"/>
      <c r="L268" s="48"/>
    </row>
    <row r="269" spans="2:12">
      <c r="B269" s="49" t="s">
        <v>5161</v>
      </c>
      <c r="C269" s="41" t="s">
        <v>5256</v>
      </c>
      <c r="D269" s="64"/>
      <c r="E269" s="58"/>
      <c r="F269" s="58"/>
      <c r="G269" s="58"/>
      <c r="H269" s="58"/>
      <c r="I269" s="58"/>
      <c r="J269" s="58"/>
      <c r="K269" s="58"/>
      <c r="L269" s="48"/>
    </row>
    <row r="270" spans="2:12">
      <c r="B270" s="49" t="s">
        <v>5162</v>
      </c>
      <c r="C270" s="41" t="s">
        <v>5257</v>
      </c>
      <c r="D270" s="64"/>
      <c r="E270" s="58"/>
      <c r="F270" s="58"/>
      <c r="G270" s="58"/>
      <c r="H270" s="58"/>
      <c r="I270" s="58"/>
      <c r="J270" s="58"/>
      <c r="K270" s="58"/>
      <c r="L270" s="48"/>
    </row>
    <row r="271" spans="2:12">
      <c r="B271" s="49" t="s">
        <v>5163</v>
      </c>
      <c r="C271" s="41" t="s">
        <v>5258</v>
      </c>
      <c r="D271" s="64"/>
      <c r="E271" s="58"/>
      <c r="F271" s="58"/>
      <c r="G271" s="58"/>
      <c r="H271" s="58"/>
      <c r="I271" s="58"/>
      <c r="J271" s="58"/>
      <c r="K271" s="58"/>
      <c r="L271" s="48"/>
    </row>
    <row r="272" spans="2:12">
      <c r="B272" s="49" t="s">
        <v>5164</v>
      </c>
      <c r="C272" s="41" t="s">
        <v>5259</v>
      </c>
      <c r="D272" s="64"/>
      <c r="E272" s="58"/>
      <c r="F272" s="58"/>
      <c r="G272" s="58"/>
      <c r="H272" s="58"/>
      <c r="I272" s="58"/>
      <c r="J272" s="58"/>
      <c r="K272" s="58"/>
      <c r="L272" s="48"/>
    </row>
    <row r="273" spans="2:27">
      <c r="B273" s="49" t="s">
        <v>5165</v>
      </c>
      <c r="C273" s="41" t="s">
        <v>5260</v>
      </c>
      <c r="D273" s="64"/>
      <c r="E273" s="58"/>
      <c r="F273" s="58"/>
      <c r="G273" s="58"/>
      <c r="H273" s="58"/>
      <c r="I273" s="58"/>
      <c r="J273" s="58"/>
      <c r="K273" s="58"/>
      <c r="L273" s="48"/>
    </row>
    <row r="274" spans="2:27">
      <c r="B274" s="49" t="s">
        <v>5166</v>
      </c>
      <c r="C274" s="41" t="s">
        <v>5261</v>
      </c>
      <c r="D274" s="64"/>
      <c r="E274" s="58"/>
      <c r="F274" s="58"/>
      <c r="G274" s="58"/>
      <c r="H274" s="58"/>
      <c r="I274" s="58"/>
      <c r="J274" s="58"/>
      <c r="K274" s="58"/>
      <c r="L274" s="48"/>
    </row>
    <row r="275" spans="2:27">
      <c r="B275" s="49" t="s">
        <v>5167</v>
      </c>
      <c r="C275" s="41" t="s">
        <v>3533</v>
      </c>
      <c r="D275" s="64"/>
      <c r="E275" s="58"/>
      <c r="F275" s="58"/>
      <c r="G275" s="58"/>
      <c r="H275" s="58"/>
      <c r="I275" s="56"/>
      <c r="J275" s="56"/>
      <c r="K275" s="56"/>
      <c r="L275" s="46"/>
    </row>
    <row r="276" spans="2:27">
      <c r="B276" s="49" t="s">
        <v>5262</v>
      </c>
      <c r="C276" s="41" t="s">
        <v>3534</v>
      </c>
      <c r="D276" s="65"/>
      <c r="E276" s="58"/>
      <c r="F276" s="58"/>
      <c r="G276" s="58"/>
      <c r="H276" s="48"/>
      <c r="I276" s="60"/>
      <c r="J276" s="60"/>
      <c r="K276" s="60"/>
      <c r="L276" s="60"/>
    </row>
    <row r="277" spans="2:27">
      <c r="B277" s="49" t="s">
        <v>5263</v>
      </c>
      <c r="C277" s="44" t="s">
        <v>3535</v>
      </c>
      <c r="D277" s="58"/>
      <c r="E277" s="58"/>
      <c r="F277" s="58"/>
      <c r="G277" s="58"/>
      <c r="H277" s="48"/>
      <c r="I277" s="60"/>
      <c r="J277" s="63"/>
      <c r="K277" s="63"/>
      <c r="L277" s="60"/>
    </row>
    <row r="278" spans="2:27">
      <c r="B278" s="49" t="s">
        <v>5170</v>
      </c>
      <c r="C278" s="44" t="s">
        <v>5264</v>
      </c>
      <c r="D278" s="58"/>
      <c r="E278" s="58"/>
      <c r="F278" s="58"/>
      <c r="G278" s="58"/>
      <c r="H278" s="48"/>
      <c r="I278" s="64"/>
      <c r="J278" s="58"/>
      <c r="K278" s="48"/>
      <c r="L278" s="60"/>
    </row>
    <row r="279" spans="2:27">
      <c r="B279" s="49" t="s">
        <v>5265</v>
      </c>
      <c r="C279" s="44" t="s">
        <v>5266</v>
      </c>
      <c r="D279" s="56"/>
      <c r="E279" s="56"/>
      <c r="F279" s="56"/>
      <c r="G279" s="56"/>
      <c r="H279" s="46"/>
      <c r="I279" s="64"/>
      <c r="J279" s="56"/>
      <c r="K279" s="46"/>
      <c r="L279" s="60"/>
    </row>
    <row r="281" spans="2:27">
      <c r="Z281" s="13" t="str">
        <f>Show!$B$158&amp;Show!$B$158&amp;"SR.27.01.01.05 Rows {"&amp;COLUMN($C$1)&amp;"}"</f>
        <v>!!SR.27.01.01.05 Rows {3}</v>
      </c>
      <c r="AA281" s="13" t="str">
        <f>Show!$B$158&amp;Show!$B$158&amp;"SR.27.01.01.05 Columns {"&amp;COLUMN($L$1)&amp;"}"</f>
        <v>!!SR.27.01.01.05 Columns {12}</v>
      </c>
    </row>
    <row r="283" spans="2:27" ht="18.75">
      <c r="B283" s="88" t="s">
        <v>5579</v>
      </c>
      <c r="C283" s="87"/>
      <c r="D283" s="87"/>
      <c r="E283" s="87"/>
      <c r="F283" s="87"/>
      <c r="G283" s="87"/>
      <c r="H283" s="87"/>
      <c r="I283" s="87"/>
      <c r="J283" s="87"/>
      <c r="K283" s="87"/>
      <c r="L283" s="87"/>
    </row>
    <row r="285" spans="2:27">
      <c r="B285" t="s">
        <v>3110</v>
      </c>
      <c r="Z285" s="13" t="str">
        <f>Show!$B$158&amp;"SR.27.01.01.06 Table label {"&amp;COLUMN($C$1)&amp;"}"</f>
        <v>!SR.27.01.01.06 Table label {3}</v>
      </c>
      <c r="AA285" s="13" t="str">
        <f>Show!$B$158&amp;"SR.27.01.01.06 Table value {"&amp;COLUMN($D$1)&amp;"}"</f>
        <v>!SR.27.01.01.06 Table value {4}</v>
      </c>
    </row>
    <row r="286" spans="2:27">
      <c r="B286" t="s">
        <v>3111</v>
      </c>
    </row>
    <row r="287" spans="2:27">
      <c r="B287" s="40" t="s">
        <v>3788</v>
      </c>
      <c r="C287" s="53" t="s">
        <v>3115</v>
      </c>
      <c r="D287" s="51"/>
    </row>
    <row r="288" spans="2:27">
      <c r="B288" s="40" t="s">
        <v>3114</v>
      </c>
      <c r="C288" s="53" t="s">
        <v>3323</v>
      </c>
      <c r="D288" s="50"/>
    </row>
    <row r="289" spans="2:27">
      <c r="Z289" s="13" t="str">
        <f>Show!$B$158&amp;Show!$B$158&amp;"SR.27.01.01.06 Table label {"&amp;COLUMN($C$1)&amp;"}"</f>
        <v>!!SR.27.01.01.06 Table label {3}</v>
      </c>
      <c r="AA289" s="13" t="str">
        <f>Show!$B$158&amp;Show!$B$158&amp;"SR.27.01.01.06 Table value {"&amp;COLUMN($D$1)&amp;"}"</f>
        <v>!!SR.27.01.01.06 Table value {4}</v>
      </c>
    </row>
    <row r="291" spans="2:27">
      <c r="D291" s="92" t="s">
        <v>2877</v>
      </c>
      <c r="E291" s="93"/>
      <c r="F291" s="93"/>
      <c r="G291" s="93"/>
      <c r="H291" s="93"/>
      <c r="I291" s="93"/>
      <c r="J291" s="93"/>
      <c r="K291" s="94"/>
    </row>
    <row r="292" spans="2:27">
      <c r="D292" s="95"/>
      <c r="E292" s="96"/>
      <c r="F292" s="96"/>
      <c r="G292" s="96"/>
      <c r="H292" s="96"/>
      <c r="I292" s="96"/>
      <c r="J292" s="96"/>
      <c r="K292" s="97"/>
    </row>
    <row r="293" spans="2:27">
      <c r="D293" s="89" t="s">
        <v>5114</v>
      </c>
      <c r="E293" s="89" t="s">
        <v>5115</v>
      </c>
      <c r="F293" s="89" t="s">
        <v>5116</v>
      </c>
      <c r="G293" s="89" t="s">
        <v>5117</v>
      </c>
      <c r="H293" s="89" t="s">
        <v>5119</v>
      </c>
      <c r="I293" s="89" t="s">
        <v>5120</v>
      </c>
      <c r="J293" s="89" t="s">
        <v>5121</v>
      </c>
      <c r="K293" s="89" t="s">
        <v>5122</v>
      </c>
    </row>
    <row r="294" spans="2:27">
      <c r="D294" s="91"/>
      <c r="E294" s="91"/>
      <c r="F294" s="91"/>
      <c r="G294" s="91"/>
      <c r="H294" s="91"/>
      <c r="I294" s="91"/>
      <c r="J294" s="91"/>
      <c r="K294" s="91"/>
    </row>
    <row r="295" spans="2:27">
      <c r="D295" s="45" t="s">
        <v>3628</v>
      </c>
      <c r="E295" s="45" t="s">
        <v>3634</v>
      </c>
      <c r="F295" s="45" t="s">
        <v>3636</v>
      </c>
      <c r="G295" s="45" t="s">
        <v>3701</v>
      </c>
      <c r="H295" s="45" t="s">
        <v>3702</v>
      </c>
      <c r="I295" s="45" t="s">
        <v>3675</v>
      </c>
      <c r="J295" s="45" t="s">
        <v>3955</v>
      </c>
      <c r="K295" s="45" t="s">
        <v>3956</v>
      </c>
      <c r="Z295" s="13" t="str">
        <f>Show!$B$158&amp;"SR.27.01.01.06 Rows {"&amp;COLUMN($C$1)&amp;"}"&amp;"@ForceFilingCode:true"</f>
        <v>!SR.27.01.01.06 Rows {3}@ForceFilingCode:true</v>
      </c>
      <c r="AA295" s="13" t="str">
        <f>Show!$B$158&amp;"SR.27.01.01.06 Columns {"&amp;COLUMN($D$1)&amp;"}"</f>
        <v>!SR.27.01.01.06 Columns {4}</v>
      </c>
    </row>
    <row r="296" spans="2:27">
      <c r="B296" s="43" t="s">
        <v>2880</v>
      </c>
      <c r="C296" s="44" t="s">
        <v>2878</v>
      </c>
      <c r="D296" s="58"/>
      <c r="E296" s="67"/>
      <c r="F296" s="67"/>
      <c r="G296" s="67"/>
      <c r="H296" s="67"/>
      <c r="I296" s="67"/>
      <c r="J296" s="67"/>
      <c r="K296" s="59"/>
    </row>
    <row r="297" spans="2:27">
      <c r="B297" s="47" t="s">
        <v>5268</v>
      </c>
      <c r="C297" s="44" t="s">
        <v>2878</v>
      </c>
      <c r="D297" s="56"/>
      <c r="E297" s="66"/>
      <c r="F297" s="66"/>
      <c r="G297" s="66"/>
      <c r="H297" s="66"/>
      <c r="I297" s="66"/>
      <c r="J297" s="66"/>
      <c r="K297" s="57"/>
    </row>
    <row r="298" spans="2:27">
      <c r="B298" s="49" t="s">
        <v>5269</v>
      </c>
      <c r="C298" s="41" t="s">
        <v>5270</v>
      </c>
      <c r="D298" s="63"/>
      <c r="E298" s="63"/>
      <c r="F298" s="63"/>
      <c r="G298" s="76"/>
      <c r="H298" s="60"/>
      <c r="I298" s="63"/>
      <c r="J298" s="63"/>
      <c r="K298" s="60"/>
    </row>
    <row r="299" spans="2:27">
      <c r="B299" s="49" t="s">
        <v>5271</v>
      </c>
      <c r="C299" s="44" t="s">
        <v>5272</v>
      </c>
      <c r="D299" s="58"/>
      <c r="E299" s="58"/>
      <c r="F299" s="58"/>
      <c r="G299" s="48"/>
      <c r="H299" s="64"/>
      <c r="I299" s="58"/>
      <c r="J299" s="48"/>
      <c r="K299" s="60"/>
    </row>
    <row r="300" spans="2:27">
      <c r="B300" s="49" t="s">
        <v>5273</v>
      </c>
      <c r="C300" s="44" t="s">
        <v>5274</v>
      </c>
      <c r="D300" s="56"/>
      <c r="E300" s="56"/>
      <c r="F300" s="56"/>
      <c r="G300" s="46"/>
      <c r="H300" s="64"/>
      <c r="I300" s="56"/>
      <c r="J300" s="46"/>
      <c r="K300" s="60"/>
    </row>
    <row r="302" spans="2:27">
      <c r="Z302" s="13" t="str">
        <f>Show!$B$158&amp;Show!$B$158&amp;"SR.27.01.01.06 Rows {"&amp;COLUMN($C$1)&amp;"}"</f>
        <v>!!SR.27.01.01.06 Rows {3}</v>
      </c>
      <c r="AA302" s="13" t="str">
        <f>Show!$B$158&amp;Show!$B$158&amp;"SR.27.01.01.06 Columns {"&amp;COLUMN($K$1)&amp;"}"</f>
        <v>!!SR.27.01.01.06 Columns {11}</v>
      </c>
    </row>
    <row r="304" spans="2:27" ht="18.75">
      <c r="B304" s="88" t="s">
        <v>5580</v>
      </c>
      <c r="C304" s="87"/>
      <c r="D304" s="87"/>
      <c r="E304" s="87"/>
      <c r="F304" s="87"/>
      <c r="G304" s="87"/>
      <c r="H304" s="87"/>
      <c r="I304" s="87"/>
      <c r="J304" s="87"/>
      <c r="K304" s="87"/>
      <c r="L304" s="87"/>
    </row>
    <row r="306" spans="2:27">
      <c r="B306" t="s">
        <v>3110</v>
      </c>
      <c r="Z306" s="13" t="str">
        <f>Show!$B$158&amp;"SR.27.01.01.07 Table label {"&amp;COLUMN($C$1)&amp;"}"</f>
        <v>!SR.27.01.01.07 Table label {3}</v>
      </c>
      <c r="AA306" s="13" t="str">
        <f>Show!$B$158&amp;"SR.27.01.01.07 Table value {"&amp;COLUMN($D$1)&amp;"}"</f>
        <v>!SR.27.01.01.07 Table value {4}</v>
      </c>
    </row>
    <row r="307" spans="2:27">
      <c r="B307" t="s">
        <v>3111</v>
      </c>
    </row>
    <row r="308" spans="2:27">
      <c r="B308" s="40" t="s">
        <v>3788</v>
      </c>
      <c r="C308" s="53" t="s">
        <v>3115</v>
      </c>
      <c r="D308" s="51"/>
    </row>
    <row r="309" spans="2:27">
      <c r="B309" s="40" t="s">
        <v>3114</v>
      </c>
      <c r="C309" s="53" t="s">
        <v>3323</v>
      </c>
      <c r="D309" s="50"/>
    </row>
    <row r="310" spans="2:27">
      <c r="Z310" s="13" t="str">
        <f>Show!$B$158&amp;Show!$B$158&amp;"SR.27.01.01.07 Table label {"&amp;COLUMN($C$1)&amp;"}"</f>
        <v>!!SR.27.01.01.07 Table label {3}</v>
      </c>
      <c r="AA310" s="13" t="str">
        <f>Show!$B$158&amp;Show!$B$158&amp;"SR.27.01.01.07 Table value {"&amp;COLUMN($D$1)&amp;"}"</f>
        <v>!!SR.27.01.01.07 Table value {4}</v>
      </c>
    </row>
    <row r="312" spans="2:27">
      <c r="D312" s="92" t="s">
        <v>2877</v>
      </c>
      <c r="E312" s="93"/>
      <c r="F312" s="93"/>
      <c r="G312" s="93"/>
      <c r="H312" s="94"/>
    </row>
    <row r="313" spans="2:27">
      <c r="D313" s="95"/>
      <c r="E313" s="96"/>
      <c r="F313" s="96"/>
      <c r="G313" s="96"/>
      <c r="H313" s="97"/>
    </row>
    <row r="314" spans="2:27">
      <c r="D314" s="98" t="s">
        <v>5276</v>
      </c>
      <c r="E314" s="100"/>
      <c r="F314" s="100"/>
      <c r="G314" s="100"/>
      <c r="H314" s="99"/>
    </row>
    <row r="315" spans="2:27" ht="60">
      <c r="D315" s="55" t="s">
        <v>5277</v>
      </c>
      <c r="E315" s="55" t="s">
        <v>5119</v>
      </c>
      <c r="F315" s="55" t="s">
        <v>5120</v>
      </c>
      <c r="G315" s="55" t="s">
        <v>5121</v>
      </c>
      <c r="H315" s="55" t="s">
        <v>5122</v>
      </c>
    </row>
    <row r="316" spans="2:27">
      <c r="D316" s="45" t="s">
        <v>3957</v>
      </c>
      <c r="E316" s="45" t="s">
        <v>3958</v>
      </c>
      <c r="F316" s="45" t="s">
        <v>3959</v>
      </c>
      <c r="G316" s="45" t="s">
        <v>3960</v>
      </c>
      <c r="H316" s="45" t="s">
        <v>3961</v>
      </c>
      <c r="Z316" s="13" t="str">
        <f>Show!$B$158&amp;"SR.27.01.01.07 Rows {"&amp;COLUMN($C$1)&amp;"}"&amp;"@ForceFilingCode:true"</f>
        <v>!SR.27.01.01.07 Rows {3}@ForceFilingCode:true</v>
      </c>
      <c r="AA316" s="13" t="str">
        <f>Show!$B$158&amp;"SR.27.01.01.07 Columns {"&amp;COLUMN($D$1)&amp;"}"</f>
        <v>!SR.27.01.01.07 Columns {4}</v>
      </c>
    </row>
    <row r="317" spans="2:27">
      <c r="B317" s="43" t="s">
        <v>2880</v>
      </c>
      <c r="C317" s="44" t="s">
        <v>2878</v>
      </c>
      <c r="D317" s="56"/>
      <c r="E317" s="66"/>
      <c r="F317" s="66"/>
      <c r="G317" s="66"/>
      <c r="H317" s="57"/>
    </row>
    <row r="318" spans="2:27">
      <c r="B318" s="47" t="s">
        <v>3905</v>
      </c>
      <c r="C318" s="41" t="s">
        <v>3536</v>
      </c>
      <c r="D318" s="60"/>
      <c r="E318" s="60"/>
      <c r="F318" s="60"/>
      <c r="G318" s="60"/>
      <c r="H318" s="60"/>
    </row>
    <row r="320" spans="2:27">
      <c r="Z320" s="13" t="str">
        <f>Show!$B$158&amp;Show!$B$158&amp;"SR.27.01.01.07 Rows {"&amp;COLUMN($C$1)&amp;"}"</f>
        <v>!!SR.27.01.01.07 Rows {3}</v>
      </c>
      <c r="AA320" s="13" t="str">
        <f>Show!$B$158&amp;Show!$B$158&amp;"SR.27.01.01.07 Columns {"&amp;COLUMN($H$1)&amp;"}"</f>
        <v>!!SR.27.01.01.07 Columns {8}</v>
      </c>
    </row>
    <row r="322" spans="2:27" ht="18.75">
      <c r="B322" s="88" t="s">
        <v>5581</v>
      </c>
      <c r="C322" s="87"/>
      <c r="D322" s="87"/>
      <c r="E322" s="87"/>
      <c r="F322" s="87"/>
      <c r="G322" s="87"/>
      <c r="H322" s="87"/>
      <c r="I322" s="87"/>
      <c r="J322" s="87"/>
      <c r="K322" s="87"/>
      <c r="L322" s="87"/>
    </row>
    <row r="324" spans="2:27">
      <c r="B324" t="s">
        <v>3110</v>
      </c>
      <c r="Z324" s="13" t="str">
        <f>Show!$B$158&amp;"SR.27.01.01.08 Table label {"&amp;COLUMN($C$1)&amp;"}"</f>
        <v>!SR.27.01.01.08 Table label {3}</v>
      </c>
      <c r="AA324" s="13" t="str">
        <f>Show!$B$158&amp;"SR.27.01.01.08 Table value {"&amp;COLUMN($D$1)&amp;"}"</f>
        <v>!SR.27.01.01.08 Table value {4}</v>
      </c>
    </row>
    <row r="325" spans="2:27">
      <c r="B325" t="s">
        <v>3111</v>
      </c>
    </row>
    <row r="326" spans="2:27">
      <c r="B326" s="40" t="s">
        <v>3788</v>
      </c>
      <c r="C326" s="53" t="s">
        <v>3115</v>
      </c>
      <c r="D326" s="51"/>
    </row>
    <row r="327" spans="2:27">
      <c r="B327" s="40" t="s">
        <v>3114</v>
      </c>
      <c r="C327" s="53" t="s">
        <v>3323</v>
      </c>
      <c r="D327" s="50"/>
    </row>
    <row r="328" spans="2:27">
      <c r="Z328" s="13" t="str">
        <f>Show!$B$158&amp;Show!$B$158&amp;"SR.27.01.01.08 Table label {"&amp;COLUMN($C$1)&amp;"}"</f>
        <v>!!SR.27.01.01.08 Table label {3}</v>
      </c>
      <c r="AA328" s="13" t="str">
        <f>Show!$B$158&amp;Show!$B$158&amp;"SR.27.01.01.08 Table value {"&amp;COLUMN($D$1)&amp;"}"</f>
        <v>!!SR.27.01.01.08 Table value {4}</v>
      </c>
    </row>
    <row r="330" spans="2:27">
      <c r="D330" s="92" t="s">
        <v>2877</v>
      </c>
      <c r="E330" s="93"/>
      <c r="F330" s="93"/>
      <c r="G330" s="93"/>
      <c r="H330" s="93"/>
      <c r="I330" s="94"/>
    </row>
    <row r="331" spans="2:27">
      <c r="D331" s="95"/>
      <c r="E331" s="96"/>
      <c r="F331" s="96"/>
      <c r="G331" s="96"/>
      <c r="H331" s="96"/>
      <c r="I331" s="97"/>
    </row>
    <row r="332" spans="2:27">
      <c r="D332" s="98" t="s">
        <v>5279</v>
      </c>
      <c r="E332" s="100"/>
      <c r="F332" s="100"/>
      <c r="G332" s="100"/>
      <c r="H332" s="100"/>
      <c r="I332" s="99"/>
    </row>
    <row r="333" spans="2:27" ht="75">
      <c r="D333" s="55" t="s">
        <v>5280</v>
      </c>
      <c r="E333" s="55" t="s">
        <v>5281</v>
      </c>
      <c r="F333" s="55" t="s">
        <v>5282</v>
      </c>
      <c r="G333" s="55" t="s">
        <v>5120</v>
      </c>
      <c r="H333" s="55" t="s">
        <v>5121</v>
      </c>
      <c r="I333" s="55" t="s">
        <v>5283</v>
      </c>
    </row>
    <row r="334" spans="2:27">
      <c r="D334" s="45" t="s">
        <v>3962</v>
      </c>
      <c r="E334" s="45" t="s">
        <v>3963</v>
      </c>
      <c r="F334" s="45" t="s">
        <v>3964</v>
      </c>
      <c r="G334" s="45" t="s">
        <v>3965</v>
      </c>
      <c r="H334" s="45" t="s">
        <v>3967</v>
      </c>
      <c r="I334" s="45" t="s">
        <v>4546</v>
      </c>
      <c r="Z334" s="13" t="str">
        <f>Show!$B$158&amp;"SR.27.01.01.08 Rows {"&amp;COLUMN($C$1)&amp;"}"&amp;"@ForceFilingCode:true"</f>
        <v>!SR.27.01.01.08 Rows {3}@ForceFilingCode:true</v>
      </c>
      <c r="AA334" s="13" t="str">
        <f>Show!$B$158&amp;"SR.27.01.01.08 Columns {"&amp;COLUMN($D$1)&amp;"}"</f>
        <v>!SR.27.01.01.08 Columns {4}</v>
      </c>
    </row>
    <row r="335" spans="2:27">
      <c r="B335" s="43" t="s">
        <v>2880</v>
      </c>
      <c r="C335" s="44" t="s">
        <v>2878</v>
      </c>
      <c r="D335" s="56"/>
      <c r="E335" s="66"/>
      <c r="F335" s="66"/>
      <c r="G335" s="66"/>
      <c r="H335" s="66"/>
      <c r="I335" s="57"/>
    </row>
    <row r="336" spans="2:27">
      <c r="B336" s="47" t="s">
        <v>5284</v>
      </c>
      <c r="C336" s="41" t="s">
        <v>3539</v>
      </c>
      <c r="D336" s="50"/>
      <c r="E336" s="50"/>
      <c r="F336" s="60"/>
      <c r="G336" s="60"/>
      <c r="H336" s="60"/>
      <c r="I336" s="60"/>
    </row>
    <row r="338" spans="2:27">
      <c r="Z338" s="13" t="str">
        <f>Show!$B$158&amp;Show!$B$158&amp;"SR.27.01.01.08 Rows {"&amp;COLUMN($C$1)&amp;"}"</f>
        <v>!!SR.27.01.01.08 Rows {3}</v>
      </c>
      <c r="AA338" s="13" t="str">
        <f>Show!$B$158&amp;Show!$B$158&amp;"SR.27.01.01.08 Columns {"&amp;COLUMN($I$1)&amp;"}"</f>
        <v>!!SR.27.01.01.08 Columns {9}</v>
      </c>
    </row>
    <row r="340" spans="2:27" ht="18.75">
      <c r="B340" s="88" t="s">
        <v>5582</v>
      </c>
      <c r="C340" s="87"/>
      <c r="D340" s="87"/>
      <c r="E340" s="87"/>
      <c r="F340" s="87"/>
      <c r="G340" s="87"/>
      <c r="H340" s="87"/>
      <c r="I340" s="87"/>
      <c r="J340" s="87"/>
      <c r="K340" s="87"/>
      <c r="L340" s="87"/>
    </row>
    <row r="342" spans="2:27">
      <c r="B342" t="s">
        <v>3110</v>
      </c>
      <c r="Z342" s="13" t="str">
        <f>Show!$B$158&amp;"SR.27.01.01.09 Table label {"&amp;COLUMN($C$1)&amp;"}"</f>
        <v>!SR.27.01.01.09 Table label {3}</v>
      </c>
      <c r="AA342" s="13" t="str">
        <f>Show!$B$158&amp;"SR.27.01.01.09 Table value {"&amp;COLUMN($D$1)&amp;"}"</f>
        <v>!SR.27.01.01.09 Table value {4}</v>
      </c>
    </row>
    <row r="343" spans="2:27">
      <c r="B343" t="s">
        <v>3111</v>
      </c>
    </row>
    <row r="344" spans="2:27">
      <c r="B344" s="40" t="s">
        <v>3788</v>
      </c>
      <c r="C344" s="53" t="s">
        <v>3115</v>
      </c>
      <c r="D344" s="51"/>
    </row>
    <row r="345" spans="2:27">
      <c r="B345" s="40" t="s">
        <v>3114</v>
      </c>
      <c r="C345" s="53" t="s">
        <v>3323</v>
      </c>
      <c r="D345" s="50"/>
    </row>
    <row r="346" spans="2:27">
      <c r="Z346" s="13" t="str">
        <f>Show!$B$158&amp;Show!$B$158&amp;"SR.27.01.01.09 Table label {"&amp;COLUMN($C$1)&amp;"}"</f>
        <v>!!SR.27.01.01.09 Table label {3}</v>
      </c>
      <c r="AA346" s="13" t="str">
        <f>Show!$B$158&amp;Show!$B$158&amp;"SR.27.01.01.09 Table value {"&amp;COLUMN($D$1)&amp;"}"</f>
        <v>!!SR.27.01.01.09 Table value {4}</v>
      </c>
    </row>
    <row r="348" spans="2:27">
      <c r="D348" s="92" t="s">
        <v>2877</v>
      </c>
      <c r="E348" s="93"/>
      <c r="F348" s="93"/>
      <c r="G348" s="93"/>
      <c r="H348" s="93"/>
      <c r="I348" s="93"/>
      <c r="J348" s="93"/>
      <c r="K348" s="94"/>
    </row>
    <row r="349" spans="2:27">
      <c r="D349" s="95"/>
      <c r="E349" s="96"/>
      <c r="F349" s="96"/>
      <c r="G349" s="96"/>
      <c r="H349" s="96"/>
      <c r="I349" s="96"/>
      <c r="J349" s="96"/>
      <c r="K349" s="97"/>
    </row>
    <row r="350" spans="2:27" ht="105">
      <c r="D350" s="55" t="s">
        <v>5286</v>
      </c>
      <c r="E350" s="55" t="s">
        <v>5287</v>
      </c>
      <c r="F350" s="55" t="s">
        <v>5288</v>
      </c>
      <c r="G350" s="55" t="s">
        <v>5289</v>
      </c>
      <c r="H350" s="55" t="s">
        <v>5120</v>
      </c>
      <c r="I350" s="55" t="s">
        <v>5121</v>
      </c>
      <c r="J350" s="55" t="s">
        <v>5290</v>
      </c>
      <c r="K350" s="55" t="s">
        <v>5291</v>
      </c>
    </row>
    <row r="351" spans="2:27">
      <c r="D351" s="45" t="s">
        <v>4547</v>
      </c>
      <c r="E351" s="45" t="s">
        <v>4551</v>
      </c>
      <c r="F351" s="45" t="s">
        <v>3969</v>
      </c>
      <c r="G351" s="45" t="s">
        <v>3970</v>
      </c>
      <c r="H351" s="45" t="s">
        <v>3971</v>
      </c>
      <c r="I351" s="45" t="s">
        <v>3972</v>
      </c>
      <c r="J351" s="45" t="s">
        <v>3973</v>
      </c>
      <c r="K351" s="45" t="s">
        <v>3974</v>
      </c>
      <c r="Z351" s="13" t="str">
        <f>Show!$B$158&amp;"SR.27.01.01.09 Rows {"&amp;COLUMN($C$1)&amp;"}"&amp;"@ForceFilingCode:true"</f>
        <v>!SR.27.01.01.09 Rows {3}@ForceFilingCode:true</v>
      </c>
      <c r="AA351" s="13" t="str">
        <f>Show!$B$158&amp;"SR.27.01.01.09 Columns {"&amp;COLUMN($D$1)&amp;"}"</f>
        <v>!SR.27.01.01.09 Columns {4}</v>
      </c>
    </row>
    <row r="352" spans="2:27">
      <c r="B352" s="43" t="s">
        <v>2880</v>
      </c>
      <c r="C352" s="44" t="s">
        <v>2878</v>
      </c>
      <c r="D352" s="56"/>
      <c r="E352" s="66"/>
      <c r="F352" s="66"/>
      <c r="G352" s="66"/>
      <c r="H352" s="66"/>
      <c r="I352" s="66"/>
      <c r="J352" s="66"/>
      <c r="K352" s="57"/>
    </row>
    <row r="353" spans="2:27">
      <c r="B353" s="47" t="s">
        <v>5292</v>
      </c>
      <c r="C353" s="41" t="s">
        <v>3542</v>
      </c>
      <c r="D353" s="60"/>
      <c r="E353" s="60"/>
      <c r="F353" s="60"/>
      <c r="G353" s="60"/>
      <c r="H353" s="60"/>
      <c r="I353" s="60"/>
      <c r="J353" s="60"/>
      <c r="K353" s="51"/>
    </row>
    <row r="355" spans="2:27">
      <c r="Z355" s="13" t="str">
        <f>Show!$B$158&amp;Show!$B$158&amp;"SR.27.01.01.09 Rows {"&amp;COLUMN($C$1)&amp;"}"</f>
        <v>!!SR.27.01.01.09 Rows {3}</v>
      </c>
      <c r="AA355" s="13" t="str">
        <f>Show!$B$158&amp;Show!$B$158&amp;"SR.27.01.01.09 Columns {"&amp;COLUMN($K$1)&amp;"}"</f>
        <v>!!SR.27.01.01.09 Columns {11}</v>
      </c>
    </row>
    <row r="357" spans="2:27" ht="18.75">
      <c r="B357" s="88" t="s">
        <v>5583</v>
      </c>
      <c r="C357" s="87"/>
      <c r="D357" s="87"/>
      <c r="E357" s="87"/>
      <c r="F357" s="87"/>
      <c r="G357" s="87"/>
      <c r="H357" s="87"/>
      <c r="I357" s="87"/>
      <c r="J357" s="87"/>
      <c r="K357" s="87"/>
      <c r="L357" s="87"/>
    </row>
    <row r="359" spans="2:27">
      <c r="B359" t="s">
        <v>3110</v>
      </c>
      <c r="Z359" s="13" t="str">
        <f>Show!$B$158&amp;"SR.27.01.01.10 Table label {"&amp;COLUMN($C$1)&amp;"}"</f>
        <v>!SR.27.01.01.10 Table label {3}</v>
      </c>
      <c r="AA359" s="13" t="str">
        <f>Show!$B$158&amp;"SR.27.01.01.10 Table value {"&amp;COLUMN($D$1)&amp;"}"</f>
        <v>!SR.27.01.01.10 Table value {4}</v>
      </c>
    </row>
    <row r="360" spans="2:27">
      <c r="B360" t="s">
        <v>3111</v>
      </c>
    </row>
    <row r="361" spans="2:27">
      <c r="B361" s="40" t="s">
        <v>3788</v>
      </c>
      <c r="C361" s="53" t="s">
        <v>3115</v>
      </c>
      <c r="D361" s="51"/>
    </row>
    <row r="362" spans="2:27">
      <c r="B362" s="40" t="s">
        <v>3114</v>
      </c>
      <c r="C362" s="53" t="s">
        <v>3323</v>
      </c>
      <c r="D362" s="50"/>
    </row>
    <row r="363" spans="2:27">
      <c r="Z363" s="13" t="str">
        <f>Show!$B$158&amp;Show!$B$158&amp;"SR.27.01.01.10 Table label {"&amp;COLUMN($C$1)&amp;"}"</f>
        <v>!!SR.27.01.01.10 Table label {3}</v>
      </c>
      <c r="AA363" s="13" t="str">
        <f>Show!$B$158&amp;Show!$B$158&amp;"SR.27.01.01.10 Table value {"&amp;COLUMN($D$1)&amp;"}"</f>
        <v>!!SR.27.01.01.10 Table value {4}</v>
      </c>
    </row>
    <row r="365" spans="2:27">
      <c r="D365" s="92" t="s">
        <v>2877</v>
      </c>
      <c r="E365" s="93"/>
      <c r="F365" s="93"/>
      <c r="G365" s="93"/>
      <c r="H365" s="93"/>
      <c r="I365" s="93"/>
      <c r="J365" s="93"/>
      <c r="K365" s="93"/>
      <c r="L365" s="93"/>
      <c r="M365" s="94"/>
    </row>
    <row r="366" spans="2:27">
      <c r="D366" s="95"/>
      <c r="E366" s="96"/>
      <c r="F366" s="96"/>
      <c r="G366" s="96"/>
      <c r="H366" s="96"/>
      <c r="I366" s="96"/>
      <c r="J366" s="96"/>
      <c r="K366" s="96"/>
      <c r="L366" s="96"/>
      <c r="M366" s="97"/>
    </row>
    <row r="367" spans="2:27" ht="120">
      <c r="D367" s="55" t="s">
        <v>5294</v>
      </c>
      <c r="E367" s="55" t="s">
        <v>5295</v>
      </c>
      <c r="F367" s="55" t="s">
        <v>5296</v>
      </c>
      <c r="G367" s="55" t="s">
        <v>5297</v>
      </c>
      <c r="H367" s="55" t="s">
        <v>5298</v>
      </c>
      <c r="I367" s="55" t="s">
        <v>5299</v>
      </c>
      <c r="J367" s="55" t="s">
        <v>5120</v>
      </c>
      <c r="K367" s="55" t="s">
        <v>5121</v>
      </c>
      <c r="L367" s="55" t="s">
        <v>5300</v>
      </c>
      <c r="M367" s="55" t="s">
        <v>5301</v>
      </c>
    </row>
    <row r="368" spans="2:27">
      <c r="D368" s="45" t="s">
        <v>3975</v>
      </c>
      <c r="E368" s="45" t="s">
        <v>3976</v>
      </c>
      <c r="F368" s="45" t="s">
        <v>3977</v>
      </c>
      <c r="G368" s="45" t="s">
        <v>3978</v>
      </c>
      <c r="H368" s="45" t="s">
        <v>3979</v>
      </c>
      <c r="I368" s="45" t="s">
        <v>3980</v>
      </c>
      <c r="J368" s="45" t="s">
        <v>3981</v>
      </c>
      <c r="K368" s="45" t="s">
        <v>3982</v>
      </c>
      <c r="L368" s="45" t="s">
        <v>3983</v>
      </c>
      <c r="M368" s="45" t="s">
        <v>3984</v>
      </c>
      <c r="Z368" s="13" t="str">
        <f>Show!$B$158&amp;"SR.27.01.01.10 Rows {"&amp;COLUMN($C$1)&amp;"}"&amp;"@ForceFilingCode:true"</f>
        <v>!SR.27.01.01.10 Rows {3}@ForceFilingCode:true</v>
      </c>
      <c r="AA368" s="13" t="str">
        <f>Show!$B$158&amp;"SR.27.01.01.10 Columns {"&amp;COLUMN($D$1)&amp;"}"</f>
        <v>!SR.27.01.01.10 Columns {4}</v>
      </c>
    </row>
    <row r="369" spans="2:27">
      <c r="B369" s="43" t="s">
        <v>2880</v>
      </c>
      <c r="C369" s="44" t="s">
        <v>2878</v>
      </c>
      <c r="D369" s="56"/>
      <c r="E369" s="66"/>
      <c r="F369" s="66"/>
      <c r="G369" s="66"/>
      <c r="H369" s="66"/>
      <c r="I369" s="66"/>
      <c r="J369" s="66"/>
      <c r="K369" s="66"/>
      <c r="L369" s="66"/>
      <c r="M369" s="57"/>
    </row>
    <row r="370" spans="2:27">
      <c r="B370" s="47" t="s">
        <v>5302</v>
      </c>
      <c r="C370" s="41" t="s">
        <v>3545</v>
      </c>
      <c r="D370" s="60"/>
      <c r="E370" s="60"/>
      <c r="F370" s="60"/>
      <c r="G370" s="60"/>
      <c r="H370" s="60"/>
      <c r="I370" s="60"/>
      <c r="J370" s="60"/>
      <c r="K370" s="60"/>
      <c r="L370" s="60"/>
      <c r="M370" s="51"/>
    </row>
    <row r="372" spans="2:27">
      <c r="Z372" s="13" t="str">
        <f>Show!$B$158&amp;Show!$B$158&amp;"SR.27.01.01.10 Rows {"&amp;COLUMN($C$1)&amp;"}"</f>
        <v>!!SR.27.01.01.10 Rows {3}</v>
      </c>
      <c r="AA372" s="13" t="str">
        <f>Show!$B$158&amp;Show!$B$158&amp;"SR.27.01.01.10 Columns {"&amp;COLUMN($M$1)&amp;"}"</f>
        <v>!!SR.27.01.01.10 Columns {13}</v>
      </c>
    </row>
    <row r="374" spans="2:27" ht="18.75">
      <c r="B374" s="88" t="s">
        <v>5584</v>
      </c>
      <c r="C374" s="87"/>
      <c r="D374" s="87"/>
      <c r="E374" s="87"/>
      <c r="F374" s="87"/>
      <c r="G374" s="87"/>
      <c r="H374" s="87"/>
      <c r="I374" s="87"/>
      <c r="J374" s="87"/>
      <c r="K374" s="87"/>
      <c r="L374" s="87"/>
    </row>
    <row r="376" spans="2:27">
      <c r="B376" t="s">
        <v>3110</v>
      </c>
      <c r="Z376" s="13" t="str">
        <f>Show!$B$158&amp;"SR.27.01.01.11 Table label {"&amp;COLUMN($C$1)&amp;"}"</f>
        <v>!SR.27.01.01.11 Table label {3}</v>
      </c>
      <c r="AA376" s="13" t="str">
        <f>Show!$B$158&amp;"SR.27.01.01.11 Table value {"&amp;COLUMN($D$1)&amp;"}"</f>
        <v>!SR.27.01.01.11 Table value {4}</v>
      </c>
    </row>
    <row r="377" spans="2:27">
      <c r="B377" t="s">
        <v>3111</v>
      </c>
    </row>
    <row r="378" spans="2:27">
      <c r="B378" s="40" t="s">
        <v>3788</v>
      </c>
      <c r="C378" s="53" t="s">
        <v>3115</v>
      </c>
      <c r="D378" s="51"/>
    </row>
    <row r="379" spans="2:27">
      <c r="B379" s="40" t="s">
        <v>3114</v>
      </c>
      <c r="C379" s="53" t="s">
        <v>3323</v>
      </c>
      <c r="D379" s="50"/>
    </row>
    <row r="380" spans="2:27">
      <c r="Z380" s="13" t="str">
        <f>Show!$B$158&amp;Show!$B$158&amp;"SR.27.01.01.11 Table label {"&amp;COLUMN($C$1)&amp;"}"</f>
        <v>!!SR.27.01.01.11 Table label {3}</v>
      </c>
      <c r="AA380" s="13" t="str">
        <f>Show!$B$158&amp;Show!$B$158&amp;"SR.27.01.01.11 Table value {"&amp;COLUMN($D$1)&amp;"}"</f>
        <v>!!SR.27.01.01.11 Table value {4}</v>
      </c>
    </row>
    <row r="382" spans="2:27">
      <c r="D382" s="92" t="s">
        <v>2877</v>
      </c>
      <c r="E382" s="93"/>
      <c r="F382" s="94"/>
    </row>
    <row r="383" spans="2:27">
      <c r="D383" s="95"/>
      <c r="E383" s="96"/>
      <c r="F383" s="97"/>
    </row>
    <row r="384" spans="2:27">
      <c r="D384" s="98" t="s">
        <v>5304</v>
      </c>
      <c r="E384" s="100"/>
      <c r="F384" s="99"/>
    </row>
    <row r="385" spans="2:27" ht="60">
      <c r="D385" s="55" t="s">
        <v>5305</v>
      </c>
      <c r="E385" s="55" t="s">
        <v>5306</v>
      </c>
      <c r="F385" s="55" t="s">
        <v>5307</v>
      </c>
    </row>
    <row r="386" spans="2:27">
      <c r="D386" s="45" t="s">
        <v>3986</v>
      </c>
      <c r="E386" s="45" t="s">
        <v>3987</v>
      </c>
      <c r="F386" s="45" t="s">
        <v>4583</v>
      </c>
      <c r="Z386" s="13" t="str">
        <f>Show!$B$158&amp;"SR.27.01.01.11 Rows {"&amp;COLUMN($C$1)&amp;"}"&amp;"@ForceFilingCode:true"</f>
        <v>!SR.27.01.01.11 Rows {3}@ForceFilingCode:true</v>
      </c>
      <c r="AA386" s="13" t="str">
        <f>Show!$B$158&amp;"SR.27.01.01.11 Columns {"&amp;COLUMN($D$1)&amp;"}"</f>
        <v>!SR.27.01.01.11 Columns {4}</v>
      </c>
    </row>
    <row r="387" spans="2:27">
      <c r="B387" s="43" t="s">
        <v>2880</v>
      </c>
      <c r="C387" s="44" t="s">
        <v>2878</v>
      </c>
      <c r="D387" s="56"/>
      <c r="E387" s="66"/>
      <c r="F387" s="57"/>
    </row>
    <row r="388" spans="2:27">
      <c r="B388" s="47" t="s">
        <v>5308</v>
      </c>
      <c r="C388" s="41" t="s">
        <v>3548</v>
      </c>
      <c r="D388" s="60"/>
      <c r="E388" s="63"/>
      <c r="F388" s="60"/>
    </row>
    <row r="389" spans="2:27">
      <c r="B389" s="47" t="s">
        <v>5309</v>
      </c>
      <c r="C389" s="41" t="s">
        <v>5310</v>
      </c>
      <c r="D389" s="64"/>
      <c r="E389" s="46"/>
      <c r="F389" s="60"/>
    </row>
    <row r="390" spans="2:27">
      <c r="B390" s="47" t="s">
        <v>5311</v>
      </c>
      <c r="C390" s="41" t="s">
        <v>5312</v>
      </c>
      <c r="D390" s="60"/>
      <c r="E390" s="60"/>
      <c r="F390" s="60"/>
    </row>
    <row r="392" spans="2:27">
      <c r="Z392" s="13" t="str">
        <f>Show!$B$158&amp;Show!$B$158&amp;"SR.27.01.01.11 Rows {"&amp;COLUMN($C$1)&amp;"}"</f>
        <v>!!SR.27.01.01.11 Rows {3}</v>
      </c>
      <c r="AA392" s="13" t="str">
        <f>Show!$B$158&amp;Show!$B$158&amp;"SR.27.01.01.11 Columns {"&amp;COLUMN($F$1)&amp;"}"</f>
        <v>!!SR.27.01.01.11 Columns {6}</v>
      </c>
    </row>
    <row r="394" spans="2:27" ht="18.75">
      <c r="B394" s="88" t="s">
        <v>5585</v>
      </c>
      <c r="C394" s="87"/>
      <c r="D394" s="87"/>
      <c r="E394" s="87"/>
      <c r="F394" s="87"/>
      <c r="G394" s="87"/>
      <c r="H394" s="87"/>
      <c r="I394" s="87"/>
      <c r="J394" s="87"/>
      <c r="K394" s="87"/>
      <c r="L394" s="87"/>
    </row>
    <row r="396" spans="2:27">
      <c r="B396" t="s">
        <v>3110</v>
      </c>
      <c r="Z396" s="13" t="str">
        <f>Show!$B$158&amp;"SR.27.01.01.12 Table label {"&amp;COLUMN($C$1)&amp;"}"</f>
        <v>!SR.27.01.01.12 Table label {3}</v>
      </c>
      <c r="AA396" s="13" t="str">
        <f>Show!$B$158&amp;"SR.27.01.01.12 Table value {"&amp;COLUMN($D$1)&amp;"}"</f>
        <v>!SR.27.01.01.12 Table value {4}</v>
      </c>
    </row>
    <row r="397" spans="2:27">
      <c r="B397" t="s">
        <v>3111</v>
      </c>
    </row>
    <row r="398" spans="2:27">
      <c r="B398" s="40" t="s">
        <v>3788</v>
      </c>
      <c r="C398" s="53" t="s">
        <v>3115</v>
      </c>
      <c r="D398" s="51"/>
    </row>
    <row r="399" spans="2:27">
      <c r="B399" s="40" t="s">
        <v>3114</v>
      </c>
      <c r="C399" s="53" t="s">
        <v>3323</v>
      </c>
      <c r="D399" s="50"/>
    </row>
    <row r="400" spans="2:27">
      <c r="Z400" s="13" t="str">
        <f>Show!$B$158&amp;Show!$B$158&amp;"SR.27.01.01.12 Table label {"&amp;COLUMN($C$1)&amp;"}"</f>
        <v>!!SR.27.01.01.12 Table label {3}</v>
      </c>
      <c r="AA400" s="13" t="str">
        <f>Show!$B$158&amp;Show!$B$158&amp;"SR.27.01.01.12 Table value {"&amp;COLUMN($D$1)&amp;"}"</f>
        <v>!!SR.27.01.01.12 Table value {4}</v>
      </c>
    </row>
    <row r="402" spans="2:27">
      <c r="D402" s="92" t="s">
        <v>2877</v>
      </c>
      <c r="E402" s="93"/>
      <c r="F402" s="93"/>
      <c r="G402" s="93"/>
      <c r="H402" s="93"/>
      <c r="I402" s="94"/>
    </row>
    <row r="403" spans="2:27">
      <c r="D403" s="95"/>
      <c r="E403" s="96"/>
      <c r="F403" s="96"/>
      <c r="G403" s="96"/>
      <c r="H403" s="96"/>
      <c r="I403" s="97"/>
    </row>
    <row r="404" spans="2:27">
      <c r="D404" s="98" t="s">
        <v>5314</v>
      </c>
      <c r="E404" s="100"/>
      <c r="F404" s="100"/>
      <c r="G404" s="100"/>
      <c r="H404" s="100"/>
      <c r="I404" s="99"/>
    </row>
    <row r="405" spans="2:27" ht="60">
      <c r="D405" s="55" t="s">
        <v>5315</v>
      </c>
      <c r="E405" s="55" t="s">
        <v>5316</v>
      </c>
      <c r="F405" s="55" t="s">
        <v>5317</v>
      </c>
      <c r="G405" s="55" t="s">
        <v>5120</v>
      </c>
      <c r="H405" s="55" t="s">
        <v>5121</v>
      </c>
      <c r="I405" s="55" t="s">
        <v>5318</v>
      </c>
    </row>
    <row r="406" spans="2:27">
      <c r="D406" s="45" t="s">
        <v>4585</v>
      </c>
      <c r="E406" s="45" t="s">
        <v>3989</v>
      </c>
      <c r="F406" s="45" t="s">
        <v>3990</v>
      </c>
      <c r="G406" s="45" t="s">
        <v>3991</v>
      </c>
      <c r="H406" s="45" t="s">
        <v>3992</v>
      </c>
      <c r="I406" s="45" t="s">
        <v>3993</v>
      </c>
      <c r="Z406" s="13" t="str">
        <f>Show!$B$158&amp;"SR.27.01.01.12 Rows {"&amp;COLUMN($C$1)&amp;"}"&amp;"@ForceFilingCode:true"</f>
        <v>!SR.27.01.01.12 Rows {3}@ForceFilingCode:true</v>
      </c>
      <c r="AA406" s="13" t="str">
        <f>Show!$B$158&amp;"SR.27.01.01.12 Columns {"&amp;COLUMN($D$1)&amp;"}"</f>
        <v>!SR.27.01.01.12 Columns {4}</v>
      </c>
    </row>
    <row r="407" spans="2:27">
      <c r="B407" s="43" t="s">
        <v>2880</v>
      </c>
      <c r="C407" s="44" t="s">
        <v>2878</v>
      </c>
      <c r="D407" s="56"/>
      <c r="E407" s="66"/>
      <c r="F407" s="66"/>
      <c r="G407" s="66"/>
      <c r="H407" s="66"/>
      <c r="I407" s="57"/>
    </row>
    <row r="408" spans="2:27">
      <c r="B408" s="47" t="s">
        <v>5319</v>
      </c>
      <c r="C408" s="41" t="s">
        <v>3549</v>
      </c>
      <c r="D408" s="60"/>
      <c r="E408" s="60"/>
      <c r="F408" s="60"/>
      <c r="G408" s="60"/>
      <c r="H408" s="60"/>
      <c r="I408" s="60"/>
    </row>
    <row r="410" spans="2:27">
      <c r="Z410" s="13" t="str">
        <f>Show!$B$158&amp;Show!$B$158&amp;"SR.27.01.01.12 Rows {"&amp;COLUMN($C$1)&amp;"}"</f>
        <v>!!SR.27.01.01.12 Rows {3}</v>
      </c>
      <c r="AA410" s="13" t="str">
        <f>Show!$B$158&amp;Show!$B$158&amp;"SR.27.01.01.12 Columns {"&amp;COLUMN($I$1)&amp;"}"</f>
        <v>!!SR.27.01.01.12 Columns {9}</v>
      </c>
    </row>
    <row r="412" spans="2:27" ht="18.75">
      <c r="B412" s="88" t="s">
        <v>5586</v>
      </c>
      <c r="C412" s="87"/>
      <c r="D412" s="87"/>
      <c r="E412" s="87"/>
      <c r="F412" s="87"/>
      <c r="G412" s="87"/>
      <c r="H412" s="87"/>
      <c r="I412" s="87"/>
      <c r="J412" s="87"/>
      <c r="K412" s="87"/>
      <c r="L412" s="87"/>
    </row>
    <row r="414" spans="2:27">
      <c r="B414" t="s">
        <v>3110</v>
      </c>
      <c r="Z414" s="13" t="str">
        <f>Show!$B$158&amp;"SR.27.01.01.13 Table label {"&amp;COLUMN($C$1)&amp;"}"</f>
        <v>!SR.27.01.01.13 Table label {3}</v>
      </c>
      <c r="AA414" s="13" t="str">
        <f>Show!$B$158&amp;"SR.27.01.01.13 Table value {"&amp;COLUMN($D$1)&amp;"}"</f>
        <v>!SR.27.01.01.13 Table value {4}</v>
      </c>
    </row>
    <row r="415" spans="2:27">
      <c r="B415" t="s">
        <v>3111</v>
      </c>
    </row>
    <row r="416" spans="2:27">
      <c r="B416" s="40" t="s">
        <v>3788</v>
      </c>
      <c r="C416" s="53" t="s">
        <v>3115</v>
      </c>
      <c r="D416" s="51"/>
    </row>
    <row r="417" spans="2:27">
      <c r="B417" s="40" t="s">
        <v>3114</v>
      </c>
      <c r="C417" s="53" t="s">
        <v>3323</v>
      </c>
      <c r="D417" s="50"/>
    </row>
    <row r="418" spans="2:27">
      <c r="Z418" s="13" t="str">
        <f>Show!$B$158&amp;Show!$B$158&amp;"SR.27.01.01.13 Table label {"&amp;COLUMN($C$1)&amp;"}"</f>
        <v>!!SR.27.01.01.13 Table label {3}</v>
      </c>
      <c r="AA418" s="13" t="str">
        <f>Show!$B$158&amp;Show!$B$158&amp;"SR.27.01.01.13 Table value {"&amp;COLUMN($D$1)&amp;"}"</f>
        <v>!!SR.27.01.01.13 Table value {4}</v>
      </c>
    </row>
    <row r="420" spans="2:27">
      <c r="D420" s="92" t="s">
        <v>2877</v>
      </c>
      <c r="E420" s="93"/>
      <c r="F420" s="93"/>
      <c r="G420" s="94"/>
    </row>
    <row r="421" spans="2:27">
      <c r="D421" s="95"/>
      <c r="E421" s="96"/>
      <c r="F421" s="96"/>
      <c r="G421" s="97"/>
    </row>
    <row r="422" spans="2:27">
      <c r="D422" s="98" t="s">
        <v>5321</v>
      </c>
      <c r="E422" s="100"/>
      <c r="F422" s="100"/>
      <c r="G422" s="99"/>
    </row>
    <row r="423" spans="2:27" ht="60">
      <c r="D423" s="55" t="s">
        <v>5322</v>
      </c>
      <c r="E423" s="55" t="s">
        <v>5120</v>
      </c>
      <c r="F423" s="55" t="s">
        <v>5121</v>
      </c>
      <c r="G423" s="55" t="s">
        <v>5323</v>
      </c>
    </row>
    <row r="424" spans="2:27">
      <c r="D424" s="45" t="s">
        <v>3994</v>
      </c>
      <c r="E424" s="45" t="s">
        <v>3995</v>
      </c>
      <c r="F424" s="45" t="s">
        <v>3996</v>
      </c>
      <c r="G424" s="45" t="s">
        <v>3997</v>
      </c>
      <c r="Z424" s="13" t="str">
        <f>Show!$B$158&amp;"SR.27.01.01.13 Rows {"&amp;COLUMN($C$1)&amp;"}"&amp;"@ForceFilingCode:true"</f>
        <v>!SR.27.01.01.13 Rows {3}@ForceFilingCode:true</v>
      </c>
      <c r="AA424" s="13" t="str">
        <f>Show!$B$158&amp;"SR.27.01.01.13 Columns {"&amp;COLUMN($D$1)&amp;"}"</f>
        <v>!SR.27.01.01.13 Columns {4}</v>
      </c>
    </row>
    <row r="425" spans="2:27">
      <c r="B425" s="43" t="s">
        <v>2880</v>
      </c>
      <c r="C425" s="44" t="s">
        <v>2878</v>
      </c>
      <c r="D425" s="56"/>
      <c r="E425" s="66"/>
      <c r="F425" s="66"/>
      <c r="G425" s="57"/>
    </row>
    <row r="426" spans="2:27">
      <c r="B426" s="47" t="s">
        <v>5101</v>
      </c>
      <c r="C426" s="41" t="s">
        <v>3550</v>
      </c>
      <c r="D426" s="60"/>
      <c r="E426" s="60"/>
      <c r="F426" s="60"/>
      <c r="G426" s="60"/>
    </row>
    <row r="428" spans="2:27">
      <c r="Z428" s="13" t="str">
        <f>Show!$B$158&amp;Show!$B$158&amp;"SR.27.01.01.13 Rows {"&amp;COLUMN($C$1)&amp;"}"</f>
        <v>!!SR.27.01.01.13 Rows {3}</v>
      </c>
      <c r="AA428" s="13" t="str">
        <f>Show!$B$158&amp;Show!$B$158&amp;"SR.27.01.01.13 Columns {"&amp;COLUMN($G$1)&amp;"}"</f>
        <v>!!SR.27.01.01.13 Columns {7}</v>
      </c>
    </row>
    <row r="430" spans="2:27" ht="18.75">
      <c r="B430" s="88" t="s">
        <v>5587</v>
      </c>
      <c r="C430" s="87"/>
      <c r="D430" s="87"/>
      <c r="E430" s="87"/>
      <c r="F430" s="87"/>
      <c r="G430" s="87"/>
      <c r="H430" s="87"/>
      <c r="I430" s="87"/>
      <c r="J430" s="87"/>
      <c r="K430" s="87"/>
      <c r="L430" s="87"/>
    </row>
    <row r="432" spans="2:27">
      <c r="B432" t="s">
        <v>3110</v>
      </c>
      <c r="Z432" s="13" t="str">
        <f>Show!$B$158&amp;"SR.27.01.01.14 Table label {"&amp;COLUMN($C$1)&amp;"}"</f>
        <v>!SR.27.01.01.14 Table label {3}</v>
      </c>
      <c r="AA432" s="13" t="str">
        <f>Show!$B$158&amp;"SR.27.01.01.14 Table value {"&amp;COLUMN($D$1)&amp;"}"</f>
        <v>!SR.27.01.01.14 Table value {4}</v>
      </c>
    </row>
    <row r="433" spans="2:27">
      <c r="B433" t="s">
        <v>3111</v>
      </c>
    </row>
    <row r="434" spans="2:27">
      <c r="B434" s="40" t="s">
        <v>3788</v>
      </c>
      <c r="C434" s="53" t="s">
        <v>3115</v>
      </c>
      <c r="D434" s="51"/>
    </row>
    <row r="435" spans="2:27">
      <c r="B435" s="40" t="s">
        <v>3114</v>
      </c>
      <c r="C435" s="53" t="s">
        <v>3323</v>
      </c>
      <c r="D435" s="50"/>
    </row>
    <row r="436" spans="2:27">
      <c r="Z436" s="13" t="str">
        <f>Show!$B$158&amp;Show!$B$158&amp;"SR.27.01.01.14 Table label {"&amp;COLUMN($C$1)&amp;"}"</f>
        <v>!!SR.27.01.01.14 Table label {3}</v>
      </c>
      <c r="AA436" s="13" t="str">
        <f>Show!$B$158&amp;Show!$B$158&amp;"SR.27.01.01.14 Table value {"&amp;COLUMN($D$1)&amp;"}"</f>
        <v>!!SR.27.01.01.14 Table value {4}</v>
      </c>
    </row>
    <row r="438" spans="2:27">
      <c r="D438" s="92" t="s">
        <v>2877</v>
      </c>
      <c r="E438" s="93"/>
      <c r="F438" s="93"/>
      <c r="G438" s="93"/>
      <c r="H438" s="93"/>
      <c r="I438" s="93"/>
      <c r="J438" s="94"/>
    </row>
    <row r="439" spans="2:27">
      <c r="D439" s="95"/>
      <c r="E439" s="96"/>
      <c r="F439" s="96"/>
      <c r="G439" s="96"/>
      <c r="H439" s="96"/>
      <c r="I439" s="96"/>
      <c r="J439" s="97"/>
    </row>
    <row r="440" spans="2:27">
      <c r="D440" s="98" t="s">
        <v>5325</v>
      </c>
      <c r="E440" s="100"/>
      <c r="F440" s="100"/>
      <c r="G440" s="100"/>
      <c r="H440" s="100"/>
      <c r="I440" s="100"/>
      <c r="J440" s="99"/>
    </row>
    <row r="441" spans="2:27" ht="60">
      <c r="D441" s="55" t="s">
        <v>5588</v>
      </c>
      <c r="E441" s="55" t="s">
        <v>5327</v>
      </c>
      <c r="F441" s="55" t="s">
        <v>4151</v>
      </c>
      <c r="G441" s="55" t="s">
        <v>5328</v>
      </c>
      <c r="H441" s="55" t="s">
        <v>5120</v>
      </c>
      <c r="I441" s="55" t="s">
        <v>5121</v>
      </c>
      <c r="J441" s="55" t="s">
        <v>5329</v>
      </c>
    </row>
    <row r="442" spans="2:27">
      <c r="D442" s="45" t="s">
        <v>3998</v>
      </c>
      <c r="E442" s="45" t="s">
        <v>3999</v>
      </c>
      <c r="F442" s="45" t="s">
        <v>4000</v>
      </c>
      <c r="G442" s="45" t="s">
        <v>4001</v>
      </c>
      <c r="H442" s="45" t="s">
        <v>4002</v>
      </c>
      <c r="I442" s="45" t="s">
        <v>4003</v>
      </c>
      <c r="J442" s="45" t="s">
        <v>4004</v>
      </c>
      <c r="Z442" s="13" t="str">
        <f>Show!$B$158&amp;"SR.27.01.01.14 Rows {"&amp;COLUMN($C$1)&amp;"}"&amp;"@ForceFilingCode:true"</f>
        <v>!SR.27.01.01.14 Rows {3}@ForceFilingCode:true</v>
      </c>
      <c r="AA442" s="13" t="str">
        <f>Show!$B$158&amp;"SR.27.01.01.14 Columns {"&amp;COLUMN($D$1)&amp;"}"</f>
        <v>!SR.27.01.01.14 Columns {4}</v>
      </c>
    </row>
    <row r="443" spans="2:27">
      <c r="B443" s="43" t="s">
        <v>2880</v>
      </c>
      <c r="C443" s="44" t="s">
        <v>2878</v>
      </c>
      <c r="D443" s="56"/>
      <c r="E443" s="66"/>
      <c r="F443" s="66"/>
      <c r="G443" s="66"/>
      <c r="H443" s="66"/>
      <c r="I443" s="66"/>
      <c r="J443" s="57"/>
    </row>
    <row r="444" spans="2:27">
      <c r="B444" s="47" t="s">
        <v>5330</v>
      </c>
      <c r="C444" s="41" t="s">
        <v>3552</v>
      </c>
      <c r="D444" s="60"/>
      <c r="E444" s="60"/>
      <c r="F444" s="50"/>
      <c r="G444" s="60"/>
      <c r="H444" s="60"/>
      <c r="I444" s="60"/>
      <c r="J444" s="60"/>
    </row>
    <row r="445" spans="2:27">
      <c r="B445" s="47" t="s">
        <v>5331</v>
      </c>
      <c r="C445" s="41" t="s">
        <v>5332</v>
      </c>
      <c r="D445" s="60"/>
      <c r="E445" s="60"/>
      <c r="F445" s="50"/>
      <c r="G445" s="60"/>
      <c r="H445" s="60"/>
      <c r="I445" s="60"/>
      <c r="J445" s="60"/>
    </row>
    <row r="446" spans="2:27">
      <c r="B446" s="47" t="s">
        <v>5333</v>
      </c>
      <c r="C446" s="41" t="s">
        <v>5334</v>
      </c>
      <c r="D446" s="60"/>
      <c r="E446" s="60"/>
      <c r="F446" s="50"/>
      <c r="G446" s="60"/>
      <c r="H446" s="60"/>
      <c r="I446" s="60"/>
      <c r="J446" s="60"/>
    </row>
    <row r="447" spans="2:27">
      <c r="B447" s="47" t="s">
        <v>5335</v>
      </c>
      <c r="C447" s="41" t="s">
        <v>5336</v>
      </c>
      <c r="D447" s="60"/>
      <c r="E447" s="60"/>
      <c r="F447" s="50"/>
      <c r="G447" s="60"/>
      <c r="H447" s="60"/>
      <c r="I447" s="60"/>
      <c r="J447" s="60"/>
    </row>
    <row r="448" spans="2:27">
      <c r="B448" s="47" t="s">
        <v>5337</v>
      </c>
      <c r="C448" s="41" t="s">
        <v>5338</v>
      </c>
      <c r="D448" s="60"/>
      <c r="E448" s="63"/>
      <c r="F448" s="74"/>
      <c r="G448" s="60"/>
      <c r="H448" s="60"/>
      <c r="I448" s="60"/>
      <c r="J448" s="60"/>
    </row>
    <row r="449" spans="2:27">
      <c r="B449" s="47" t="s">
        <v>3480</v>
      </c>
      <c r="C449" s="41" t="s">
        <v>5339</v>
      </c>
      <c r="D449" s="64"/>
      <c r="E449" s="56"/>
      <c r="F449" s="46"/>
      <c r="G449" s="60"/>
      <c r="H449" s="60"/>
      <c r="I449" s="60"/>
      <c r="J449" s="60"/>
    </row>
    <row r="451" spans="2:27">
      <c r="Z451" s="13" t="str">
        <f>Show!$B$158&amp;Show!$B$158&amp;"SR.27.01.01.14 Rows {"&amp;COLUMN($C$1)&amp;"}"</f>
        <v>!!SR.27.01.01.14 Rows {3}</v>
      </c>
      <c r="AA451" s="13" t="str">
        <f>Show!$B$158&amp;Show!$B$158&amp;"SR.27.01.01.14 Columns {"&amp;COLUMN($J$1)&amp;"}"</f>
        <v>!!SR.27.01.01.14 Columns {10}</v>
      </c>
    </row>
    <row r="453" spans="2:27" ht="18.75">
      <c r="B453" s="88" t="s">
        <v>5589</v>
      </c>
      <c r="C453" s="87"/>
      <c r="D453" s="87"/>
      <c r="E453" s="87"/>
      <c r="F453" s="87"/>
      <c r="G453" s="87"/>
      <c r="H453" s="87"/>
      <c r="I453" s="87"/>
      <c r="J453" s="87"/>
      <c r="K453" s="87"/>
      <c r="L453" s="87"/>
    </row>
    <row r="455" spans="2:27">
      <c r="B455" t="s">
        <v>3110</v>
      </c>
      <c r="Z455" s="13" t="str">
        <f>Show!$B$158&amp;"SR.27.01.01.15 Table label {"&amp;COLUMN($C$1)&amp;"}"</f>
        <v>!SR.27.01.01.15 Table label {3}</v>
      </c>
      <c r="AA455" s="13" t="str">
        <f>Show!$B$158&amp;"SR.27.01.01.15 Table value {"&amp;COLUMN($D$1)&amp;"}"</f>
        <v>!SR.27.01.01.15 Table value {4}</v>
      </c>
    </row>
    <row r="456" spans="2:27">
      <c r="B456" t="s">
        <v>3111</v>
      </c>
    </row>
    <row r="457" spans="2:27">
      <c r="B457" s="40" t="s">
        <v>3788</v>
      </c>
      <c r="C457" s="53" t="s">
        <v>3115</v>
      </c>
      <c r="D457" s="51"/>
    </row>
    <row r="458" spans="2:27">
      <c r="B458" s="40" t="s">
        <v>3114</v>
      </c>
      <c r="C458" s="53" t="s">
        <v>3323</v>
      </c>
      <c r="D458" s="50"/>
    </row>
    <row r="459" spans="2:27">
      <c r="Z459" s="13" t="str">
        <f>Show!$B$158&amp;Show!$B$158&amp;"SR.27.01.01.15 Table label {"&amp;COLUMN($C$1)&amp;"}"</f>
        <v>!!SR.27.01.01.15 Table label {3}</v>
      </c>
      <c r="AA459" s="13" t="str">
        <f>Show!$B$158&amp;Show!$B$158&amp;"SR.27.01.01.15 Table value {"&amp;COLUMN($D$1)&amp;"}"</f>
        <v>!!SR.27.01.01.15 Table value {4}</v>
      </c>
    </row>
    <row r="461" spans="2:27">
      <c r="D461" s="92" t="s">
        <v>2877</v>
      </c>
      <c r="E461" s="93"/>
      <c r="F461" s="94"/>
    </row>
    <row r="462" spans="2:27">
      <c r="D462" s="95"/>
      <c r="E462" s="96"/>
      <c r="F462" s="97"/>
    </row>
    <row r="463" spans="2:27">
      <c r="D463" s="98" t="s">
        <v>5325</v>
      </c>
      <c r="E463" s="100"/>
      <c r="F463" s="99"/>
    </row>
    <row r="464" spans="2:27" ht="60">
      <c r="D464" s="55" t="s">
        <v>5328</v>
      </c>
      <c r="E464" s="55" t="s">
        <v>5306</v>
      </c>
      <c r="F464" s="55" t="s">
        <v>5329</v>
      </c>
    </row>
    <row r="465" spans="2:27">
      <c r="D465" s="45" t="s">
        <v>4006</v>
      </c>
      <c r="E465" s="45" t="s">
        <v>4560</v>
      </c>
      <c r="F465" s="45" t="s">
        <v>5341</v>
      </c>
      <c r="Z465" s="13" t="str">
        <f>Show!$B$158&amp;"SR.27.01.01.15 Rows {"&amp;COLUMN($C$1)&amp;"}"&amp;"@ForceFilingCode:true"</f>
        <v>!SR.27.01.01.15 Rows {3}@ForceFilingCode:true</v>
      </c>
      <c r="AA465" s="13" t="str">
        <f>Show!$B$158&amp;"SR.27.01.01.15 Columns {"&amp;COLUMN($D$1)&amp;"}"</f>
        <v>!SR.27.01.01.15 Columns {4}</v>
      </c>
    </row>
    <row r="466" spans="2:27">
      <c r="B466" s="43" t="s">
        <v>2880</v>
      </c>
      <c r="C466" s="44" t="s">
        <v>2878</v>
      </c>
      <c r="D466" s="56"/>
      <c r="E466" s="66"/>
      <c r="F466" s="57"/>
    </row>
    <row r="467" spans="2:27">
      <c r="B467" s="47" t="s">
        <v>5308</v>
      </c>
      <c r="C467" s="41" t="s">
        <v>5342</v>
      </c>
      <c r="D467" s="60"/>
      <c r="E467" s="63"/>
      <c r="F467" s="60"/>
    </row>
    <row r="468" spans="2:27">
      <c r="B468" s="47" t="s">
        <v>5343</v>
      </c>
      <c r="C468" s="41" t="s">
        <v>5344</v>
      </c>
      <c r="D468" s="64"/>
      <c r="E468" s="46"/>
      <c r="F468" s="60"/>
    </row>
    <row r="469" spans="2:27">
      <c r="B469" s="47" t="s">
        <v>5311</v>
      </c>
      <c r="C469" s="41" t="s">
        <v>5345</v>
      </c>
      <c r="D469" s="60"/>
      <c r="E469" s="60"/>
      <c r="F469" s="60"/>
    </row>
    <row r="471" spans="2:27">
      <c r="Z471" s="13" t="str">
        <f>Show!$B$158&amp;Show!$B$158&amp;"SR.27.01.01.15 Rows {"&amp;COLUMN($C$1)&amp;"}"</f>
        <v>!!SR.27.01.01.15 Rows {3}</v>
      </c>
      <c r="AA471" s="13" t="str">
        <f>Show!$B$158&amp;Show!$B$158&amp;"SR.27.01.01.15 Columns {"&amp;COLUMN($F$1)&amp;"}"</f>
        <v>!!SR.27.01.01.15 Columns {6}</v>
      </c>
    </row>
    <row r="473" spans="2:27" ht="18.75">
      <c r="B473" s="88" t="s">
        <v>5590</v>
      </c>
      <c r="C473" s="87"/>
      <c r="D473" s="87"/>
      <c r="E473" s="87"/>
      <c r="F473" s="87"/>
      <c r="G473" s="87"/>
      <c r="H473" s="87"/>
      <c r="I473" s="87"/>
      <c r="J473" s="87"/>
      <c r="K473" s="87"/>
      <c r="L473" s="87"/>
    </row>
    <row r="475" spans="2:27">
      <c r="B475" t="s">
        <v>3110</v>
      </c>
      <c r="Z475" s="13" t="str">
        <f>Show!$B$158&amp;"SR.27.01.01.16 Table label {"&amp;COLUMN($C$1)&amp;"}"</f>
        <v>!SR.27.01.01.16 Table label {3}</v>
      </c>
      <c r="AA475" s="13" t="str">
        <f>Show!$B$158&amp;"SR.27.01.01.16 Table value {"&amp;COLUMN($D$1)&amp;"}"</f>
        <v>!SR.27.01.01.16 Table value {4}</v>
      </c>
    </row>
    <row r="476" spans="2:27">
      <c r="B476" t="s">
        <v>3111</v>
      </c>
    </row>
    <row r="477" spans="2:27">
      <c r="B477" s="40" t="s">
        <v>3788</v>
      </c>
      <c r="C477" s="53" t="s">
        <v>3115</v>
      </c>
      <c r="D477" s="51"/>
    </row>
    <row r="478" spans="2:27">
      <c r="B478" s="40" t="s">
        <v>3114</v>
      </c>
      <c r="C478" s="53" t="s">
        <v>3323</v>
      </c>
      <c r="D478" s="50"/>
    </row>
    <row r="479" spans="2:27">
      <c r="Z479" s="13" t="str">
        <f>Show!$B$158&amp;Show!$B$158&amp;"SR.27.01.01.16 Table label {"&amp;COLUMN($C$1)&amp;"}"</f>
        <v>!!SR.27.01.01.16 Table label {3}</v>
      </c>
      <c r="AA479" s="13" t="str">
        <f>Show!$B$158&amp;Show!$B$158&amp;"SR.27.01.01.16 Table value {"&amp;COLUMN($D$1)&amp;"}"</f>
        <v>!!SR.27.01.01.16 Table value {4}</v>
      </c>
    </row>
    <row r="481" spans="2:27">
      <c r="D481" s="92" t="s">
        <v>2877</v>
      </c>
      <c r="E481" s="93"/>
      <c r="F481" s="93"/>
      <c r="G481" s="93"/>
      <c r="H481" s="93"/>
      <c r="I481" s="94"/>
    </row>
    <row r="482" spans="2:27">
      <c r="D482" s="95"/>
      <c r="E482" s="96"/>
      <c r="F482" s="96"/>
      <c r="G482" s="96"/>
      <c r="H482" s="96"/>
      <c r="I482" s="97"/>
    </row>
    <row r="483" spans="2:27">
      <c r="D483" s="98" t="s">
        <v>5347</v>
      </c>
      <c r="E483" s="100"/>
      <c r="F483" s="100"/>
      <c r="G483" s="100"/>
      <c r="H483" s="100"/>
      <c r="I483" s="99"/>
    </row>
    <row r="484" spans="2:27" ht="105">
      <c r="D484" s="55" t="s">
        <v>5348</v>
      </c>
      <c r="E484" s="55" t="s">
        <v>5350</v>
      </c>
      <c r="F484" s="55" t="s">
        <v>5351</v>
      </c>
      <c r="G484" s="55" t="s">
        <v>5120</v>
      </c>
      <c r="H484" s="55" t="s">
        <v>5121</v>
      </c>
      <c r="I484" s="55" t="s">
        <v>5352</v>
      </c>
    </row>
    <row r="485" spans="2:27">
      <c r="D485" s="45" t="s">
        <v>5349</v>
      </c>
      <c r="E485" s="45" t="s">
        <v>4008</v>
      </c>
      <c r="F485" s="45" t="s">
        <v>4009</v>
      </c>
      <c r="G485" s="45" t="s">
        <v>4010</v>
      </c>
      <c r="H485" s="45" t="s">
        <v>4011</v>
      </c>
      <c r="I485" s="45" t="s">
        <v>4012</v>
      </c>
      <c r="Z485" s="13" t="str">
        <f>Show!$B$158&amp;"SR.27.01.01.16 Rows {"&amp;COLUMN($C$1)&amp;"}"&amp;"@ForceFilingCode:true"</f>
        <v>!SR.27.01.01.16 Rows {3}@ForceFilingCode:true</v>
      </c>
      <c r="AA485" s="13" t="str">
        <f>Show!$B$158&amp;"SR.27.01.01.16 Columns {"&amp;COLUMN($D$1)&amp;"}"</f>
        <v>!SR.27.01.01.16 Columns {4}</v>
      </c>
    </row>
    <row r="486" spans="2:27">
      <c r="B486" s="43" t="s">
        <v>2880</v>
      </c>
      <c r="C486" s="44" t="s">
        <v>2878</v>
      </c>
      <c r="D486" s="56"/>
      <c r="E486" s="66"/>
      <c r="F486" s="66"/>
      <c r="G486" s="66"/>
      <c r="H486" s="66"/>
      <c r="I486" s="57"/>
    </row>
    <row r="487" spans="2:27">
      <c r="B487" s="47" t="s">
        <v>5353</v>
      </c>
      <c r="C487" s="41" t="s">
        <v>5354</v>
      </c>
      <c r="D487" s="60"/>
      <c r="E487" s="70"/>
      <c r="F487" s="60"/>
      <c r="G487" s="60"/>
      <c r="H487" s="60"/>
      <c r="I487" s="60"/>
    </row>
    <row r="488" spans="2:27">
      <c r="B488" s="47" t="s">
        <v>5355</v>
      </c>
      <c r="C488" s="41" t="s">
        <v>5356</v>
      </c>
      <c r="D488" s="60"/>
      <c r="E488" s="70"/>
      <c r="F488" s="60"/>
      <c r="G488" s="60"/>
      <c r="H488" s="60"/>
      <c r="I488" s="60"/>
    </row>
    <row r="489" spans="2:27">
      <c r="B489" s="47" t="s">
        <v>3480</v>
      </c>
      <c r="C489" s="41" t="s">
        <v>5357</v>
      </c>
      <c r="D489" s="60"/>
      <c r="E489" s="70"/>
      <c r="F489" s="60"/>
      <c r="G489" s="60"/>
      <c r="H489" s="60"/>
      <c r="I489" s="60"/>
    </row>
    <row r="491" spans="2:27">
      <c r="Z491" s="13" t="str">
        <f>Show!$B$158&amp;Show!$B$158&amp;"SR.27.01.01.16 Rows {"&amp;COLUMN($C$1)&amp;"}"</f>
        <v>!!SR.27.01.01.16 Rows {3}</v>
      </c>
      <c r="AA491" s="13" t="str">
        <f>Show!$B$158&amp;Show!$B$158&amp;"SR.27.01.01.16 Columns {"&amp;COLUMN($I$1)&amp;"}"</f>
        <v>!!SR.27.01.01.16 Columns {9}</v>
      </c>
    </row>
    <row r="493" spans="2:27" ht="18.75">
      <c r="B493" s="88" t="s">
        <v>5591</v>
      </c>
      <c r="C493" s="87"/>
      <c r="D493" s="87"/>
      <c r="E493" s="87"/>
      <c r="F493" s="87"/>
      <c r="G493" s="87"/>
      <c r="H493" s="87"/>
      <c r="I493" s="87"/>
      <c r="J493" s="87"/>
      <c r="K493" s="87"/>
      <c r="L493" s="87"/>
    </row>
    <row r="495" spans="2:27">
      <c r="B495" t="s">
        <v>3110</v>
      </c>
      <c r="Z495" s="13" t="str">
        <f>Show!$B$158&amp;"SR.27.01.01.17 Table label {"&amp;COLUMN($C$1)&amp;"}"</f>
        <v>!SR.27.01.01.17 Table label {3}</v>
      </c>
      <c r="AA495" s="13" t="str">
        <f>Show!$B$158&amp;"SR.27.01.01.17 Table value {"&amp;COLUMN($D$1)&amp;"}"</f>
        <v>!SR.27.01.01.17 Table value {4}</v>
      </c>
    </row>
    <row r="496" spans="2:27">
      <c r="B496" t="s">
        <v>3111</v>
      </c>
    </row>
    <row r="497" spans="2:27">
      <c r="B497" s="40" t="s">
        <v>3788</v>
      </c>
      <c r="C497" s="53" t="s">
        <v>3115</v>
      </c>
      <c r="D497" s="51"/>
    </row>
    <row r="498" spans="2:27">
      <c r="B498" s="40" t="s">
        <v>3114</v>
      </c>
      <c r="C498" s="53" t="s">
        <v>3323</v>
      </c>
      <c r="D498" s="50"/>
    </row>
    <row r="499" spans="2:27">
      <c r="Z499" s="13" t="str">
        <f>Show!$B$158&amp;Show!$B$158&amp;"SR.27.01.01.17 Table label {"&amp;COLUMN($C$1)&amp;"}"</f>
        <v>!!SR.27.01.01.17 Table label {3}</v>
      </c>
      <c r="AA499" s="13" t="str">
        <f>Show!$B$158&amp;Show!$B$158&amp;"SR.27.01.01.17 Table value {"&amp;COLUMN($D$1)&amp;"}"</f>
        <v>!!SR.27.01.01.17 Table value {4}</v>
      </c>
    </row>
    <row r="501" spans="2:27">
      <c r="D501" s="92" t="s">
        <v>2877</v>
      </c>
      <c r="E501" s="93"/>
      <c r="F501" s="93"/>
      <c r="G501" s="93"/>
      <c r="H501" s="94"/>
    </row>
    <row r="502" spans="2:27">
      <c r="D502" s="95"/>
      <c r="E502" s="96"/>
      <c r="F502" s="96"/>
      <c r="G502" s="96"/>
      <c r="H502" s="97"/>
    </row>
    <row r="503" spans="2:27">
      <c r="D503" s="98" t="s">
        <v>5359</v>
      </c>
      <c r="E503" s="100"/>
      <c r="F503" s="100"/>
      <c r="G503" s="100"/>
      <c r="H503" s="99"/>
    </row>
    <row r="504" spans="2:27" ht="105">
      <c r="D504" s="55" t="s">
        <v>5326</v>
      </c>
      <c r="E504" s="55" t="s">
        <v>5360</v>
      </c>
      <c r="F504" s="55" t="s">
        <v>5120</v>
      </c>
      <c r="G504" s="55" t="s">
        <v>5121</v>
      </c>
      <c r="H504" s="55" t="s">
        <v>5361</v>
      </c>
    </row>
    <row r="505" spans="2:27">
      <c r="D505" s="45" t="s">
        <v>4013</v>
      </c>
      <c r="E505" s="45" t="s">
        <v>4014</v>
      </c>
      <c r="F505" s="45" t="s">
        <v>4015</v>
      </c>
      <c r="G505" s="45" t="s">
        <v>4016</v>
      </c>
      <c r="H505" s="45" t="s">
        <v>4017</v>
      </c>
      <c r="Z505" s="13" t="str">
        <f>Show!$B$158&amp;"SR.27.01.01.17 Rows {"&amp;COLUMN($C$1)&amp;"}"&amp;"@ForceFilingCode:true"</f>
        <v>!SR.27.01.01.17 Rows {3}@ForceFilingCode:true</v>
      </c>
      <c r="AA505" s="13" t="str">
        <f>Show!$B$158&amp;"SR.27.01.01.17 Columns {"&amp;COLUMN($D$1)&amp;"}"</f>
        <v>!SR.27.01.01.17 Columns {4}</v>
      </c>
    </row>
    <row r="506" spans="2:27">
      <c r="B506" s="43" t="s">
        <v>2880</v>
      </c>
      <c r="C506" s="44" t="s">
        <v>2878</v>
      </c>
      <c r="D506" s="56"/>
      <c r="E506" s="66"/>
      <c r="F506" s="66"/>
      <c r="G506" s="66"/>
      <c r="H506" s="57"/>
    </row>
    <row r="507" spans="2:27">
      <c r="B507" s="47" t="s">
        <v>3480</v>
      </c>
      <c r="C507" s="41" t="s">
        <v>5362</v>
      </c>
      <c r="D507" s="60"/>
      <c r="E507" s="60"/>
      <c r="F507" s="60"/>
      <c r="G507" s="60"/>
      <c r="H507" s="60"/>
    </row>
    <row r="509" spans="2:27">
      <c r="Z509" s="13" t="str">
        <f>Show!$B$158&amp;Show!$B$158&amp;"SR.27.01.01.17 Rows {"&amp;COLUMN($C$1)&amp;"}"</f>
        <v>!!SR.27.01.01.17 Rows {3}</v>
      </c>
      <c r="AA509" s="13" t="str">
        <f>Show!$B$158&amp;Show!$B$158&amp;"SR.27.01.01.17 Columns {"&amp;COLUMN($H$1)&amp;"}"</f>
        <v>!!SR.27.01.01.17 Columns {8}</v>
      </c>
    </row>
    <row r="511" spans="2:27" ht="18.75">
      <c r="B511" s="88" t="s">
        <v>5592</v>
      </c>
      <c r="C511" s="87"/>
      <c r="D511" s="87"/>
      <c r="E511" s="87"/>
      <c r="F511" s="87"/>
      <c r="G511" s="87"/>
      <c r="H511" s="87"/>
      <c r="I511" s="87"/>
      <c r="J511" s="87"/>
      <c r="K511" s="87"/>
      <c r="L511" s="87"/>
    </row>
    <row r="513" spans="2:27">
      <c r="B513" t="s">
        <v>3110</v>
      </c>
      <c r="Z513" s="13" t="str">
        <f>Show!$B$158&amp;"SR.27.01.01.18 Table label {"&amp;COLUMN($C$1)&amp;"}"</f>
        <v>!SR.27.01.01.18 Table label {3}</v>
      </c>
      <c r="AA513" s="13" t="str">
        <f>Show!$B$158&amp;"SR.27.01.01.18 Table value {"&amp;COLUMN($D$1)&amp;"}"</f>
        <v>!SR.27.01.01.18 Table value {4}</v>
      </c>
    </row>
    <row r="514" spans="2:27">
      <c r="B514" t="s">
        <v>3111</v>
      </c>
    </row>
    <row r="515" spans="2:27">
      <c r="B515" s="40" t="s">
        <v>3788</v>
      </c>
      <c r="C515" s="53" t="s">
        <v>3115</v>
      </c>
      <c r="D515" s="51"/>
    </row>
    <row r="516" spans="2:27">
      <c r="B516" s="40" t="s">
        <v>3114</v>
      </c>
      <c r="C516" s="53" t="s">
        <v>3323</v>
      </c>
      <c r="D516" s="50"/>
    </row>
    <row r="517" spans="2:27">
      <c r="Z517" s="13" t="str">
        <f>Show!$B$158&amp;Show!$B$158&amp;"SR.27.01.01.18 Table label {"&amp;COLUMN($C$1)&amp;"}"</f>
        <v>!!SR.27.01.01.18 Table label {3}</v>
      </c>
      <c r="AA517" s="13" t="str">
        <f>Show!$B$158&amp;Show!$B$158&amp;"SR.27.01.01.18 Table value {"&amp;COLUMN($D$1)&amp;"}"</f>
        <v>!!SR.27.01.01.18 Table value {4}</v>
      </c>
    </row>
    <row r="519" spans="2:27">
      <c r="D519" s="92" t="s">
        <v>2877</v>
      </c>
      <c r="E519" s="93"/>
      <c r="F519" s="94"/>
    </row>
    <row r="520" spans="2:27">
      <c r="D520" s="95"/>
      <c r="E520" s="96"/>
      <c r="F520" s="97"/>
    </row>
    <row r="521" spans="2:27">
      <c r="D521" s="98" t="s">
        <v>5364</v>
      </c>
      <c r="E521" s="100"/>
      <c r="F521" s="99"/>
    </row>
    <row r="522" spans="2:27" ht="90">
      <c r="D522" s="55" t="s">
        <v>5365</v>
      </c>
      <c r="E522" s="55" t="s">
        <v>5306</v>
      </c>
      <c r="F522" s="55" t="s">
        <v>5366</v>
      </c>
    </row>
    <row r="523" spans="2:27">
      <c r="D523" s="45" t="s">
        <v>4018</v>
      </c>
      <c r="E523" s="45" t="s">
        <v>4019</v>
      </c>
      <c r="F523" s="45" t="s">
        <v>4020</v>
      </c>
      <c r="Z523" s="13" t="str">
        <f>Show!$B$158&amp;"SR.27.01.01.18 Rows {"&amp;COLUMN($C$1)&amp;"}"&amp;"@ForceFilingCode:true"</f>
        <v>!SR.27.01.01.18 Rows {3}@ForceFilingCode:true</v>
      </c>
      <c r="AA523" s="13" t="str">
        <f>Show!$B$158&amp;"SR.27.01.01.18 Columns {"&amp;COLUMN($D$1)&amp;"}"</f>
        <v>!SR.27.01.01.18 Columns {4}</v>
      </c>
    </row>
    <row r="524" spans="2:27">
      <c r="B524" s="43" t="s">
        <v>2880</v>
      </c>
      <c r="C524" s="44" t="s">
        <v>2878</v>
      </c>
      <c r="D524" s="56"/>
      <c r="E524" s="66"/>
      <c r="F524" s="57"/>
    </row>
    <row r="525" spans="2:27">
      <c r="B525" s="47" t="s">
        <v>5308</v>
      </c>
      <c r="C525" s="41" t="s">
        <v>5367</v>
      </c>
      <c r="D525" s="60"/>
      <c r="E525" s="63"/>
      <c r="F525" s="60"/>
    </row>
    <row r="526" spans="2:27">
      <c r="B526" s="47" t="s">
        <v>5309</v>
      </c>
      <c r="C526" s="41" t="s">
        <v>5368</v>
      </c>
      <c r="D526" s="64"/>
      <c r="E526" s="46"/>
      <c r="F526" s="60"/>
    </row>
    <row r="527" spans="2:27">
      <c r="B527" s="47" t="s">
        <v>5311</v>
      </c>
      <c r="C527" s="41" t="s">
        <v>5369</v>
      </c>
      <c r="D527" s="60"/>
      <c r="E527" s="60"/>
      <c r="F527" s="60"/>
    </row>
    <row r="529" spans="2:27">
      <c r="Z529" s="13" t="str">
        <f>Show!$B$158&amp;Show!$B$158&amp;"SR.27.01.01.18 Rows {"&amp;COLUMN($C$1)&amp;"}"</f>
        <v>!!SR.27.01.01.18 Rows {3}</v>
      </c>
      <c r="AA529" s="13" t="str">
        <f>Show!$B$158&amp;Show!$B$158&amp;"SR.27.01.01.18 Columns {"&amp;COLUMN($F$1)&amp;"}"</f>
        <v>!!SR.27.01.01.18 Columns {6}</v>
      </c>
    </row>
    <row r="531" spans="2:27" ht="18.75">
      <c r="B531" s="88" t="s">
        <v>5593</v>
      </c>
      <c r="C531" s="87"/>
      <c r="D531" s="87"/>
      <c r="E531" s="87"/>
      <c r="F531" s="87"/>
      <c r="G531" s="87"/>
      <c r="H531" s="87"/>
      <c r="I531" s="87"/>
      <c r="J531" s="87"/>
      <c r="K531" s="87"/>
      <c r="L531" s="87"/>
    </row>
    <row r="533" spans="2:27">
      <c r="B533" t="s">
        <v>3110</v>
      </c>
      <c r="Z533" s="13" t="str">
        <f>Show!$B$158&amp;"SR.27.01.01.19 Table label {"&amp;COLUMN($C$1)&amp;"}"</f>
        <v>!SR.27.01.01.19 Table label {3}</v>
      </c>
      <c r="AA533" s="13" t="str">
        <f>Show!$B$158&amp;"SR.27.01.01.19 Table value {"&amp;COLUMN($D$1)&amp;"}"</f>
        <v>!SR.27.01.01.19 Table value {4}</v>
      </c>
    </row>
    <row r="534" spans="2:27">
      <c r="B534" t="s">
        <v>3111</v>
      </c>
    </row>
    <row r="535" spans="2:27">
      <c r="B535" s="40" t="s">
        <v>3788</v>
      </c>
      <c r="C535" s="53" t="s">
        <v>3115</v>
      </c>
      <c r="D535" s="51"/>
    </row>
    <row r="536" spans="2:27">
      <c r="B536" s="40" t="s">
        <v>3114</v>
      </c>
      <c r="C536" s="53" t="s">
        <v>3323</v>
      </c>
      <c r="D536" s="50"/>
    </row>
    <row r="537" spans="2:27">
      <c r="Z537" s="13" t="str">
        <f>Show!$B$158&amp;Show!$B$158&amp;"SR.27.01.01.19 Table label {"&amp;COLUMN($C$1)&amp;"}"</f>
        <v>!!SR.27.01.01.19 Table label {3}</v>
      </c>
      <c r="AA537" s="13" t="str">
        <f>Show!$B$158&amp;Show!$B$158&amp;"SR.27.01.01.19 Table value {"&amp;COLUMN($D$1)&amp;"}"</f>
        <v>!!SR.27.01.01.19 Table value {4}</v>
      </c>
    </row>
    <row r="539" spans="2:27">
      <c r="D539" s="92" t="s">
        <v>2877</v>
      </c>
      <c r="E539" s="93"/>
      <c r="F539" s="93"/>
      <c r="G539" s="94"/>
    </row>
    <row r="540" spans="2:27">
      <c r="D540" s="95"/>
      <c r="E540" s="96"/>
      <c r="F540" s="96"/>
      <c r="G540" s="97"/>
    </row>
    <row r="541" spans="2:27">
      <c r="D541" s="98" t="s">
        <v>5371</v>
      </c>
      <c r="E541" s="100"/>
      <c r="F541" s="100"/>
      <c r="G541" s="99"/>
    </row>
    <row r="542" spans="2:27" ht="90">
      <c r="D542" s="55" t="s">
        <v>5114</v>
      </c>
      <c r="E542" s="55" t="s">
        <v>5372</v>
      </c>
      <c r="F542" s="55" t="s">
        <v>5306</v>
      </c>
      <c r="G542" s="55" t="s">
        <v>5373</v>
      </c>
    </row>
    <row r="543" spans="2:27">
      <c r="D543" s="45" t="s">
        <v>4021</v>
      </c>
      <c r="E543" s="45" t="s">
        <v>4022</v>
      </c>
      <c r="F543" s="45" t="s">
        <v>4023</v>
      </c>
      <c r="G543" s="45" t="s">
        <v>4025</v>
      </c>
      <c r="Z543" s="13" t="str">
        <f>Show!$B$158&amp;"SR.27.01.01.19 Rows {"&amp;COLUMN($C$1)&amp;"}"&amp;"@ForceFilingCode:true"</f>
        <v>!SR.27.01.01.19 Rows {3}@ForceFilingCode:true</v>
      </c>
      <c r="AA543" s="13" t="str">
        <f>Show!$B$158&amp;"SR.27.01.01.19 Columns {"&amp;COLUMN($D$1)&amp;"}"</f>
        <v>!SR.27.01.01.19 Columns {4}</v>
      </c>
    </row>
    <row r="544" spans="2:27">
      <c r="B544" s="43" t="s">
        <v>2880</v>
      </c>
      <c r="C544" s="44" t="s">
        <v>2878</v>
      </c>
      <c r="D544" s="56"/>
      <c r="E544" s="66"/>
      <c r="F544" s="67"/>
      <c r="G544" s="59"/>
    </row>
    <row r="545" spans="2:27">
      <c r="B545" s="47" t="s">
        <v>5374</v>
      </c>
      <c r="C545" s="41" t="s">
        <v>5375</v>
      </c>
      <c r="D545" s="60"/>
      <c r="E545" s="64"/>
      <c r="F545" s="58"/>
      <c r="G545" s="48"/>
    </row>
    <row r="546" spans="2:27">
      <c r="B546" s="47" t="s">
        <v>5376</v>
      </c>
      <c r="C546" s="41" t="s">
        <v>5377</v>
      </c>
      <c r="D546" s="60"/>
      <c r="E546" s="64"/>
      <c r="F546" s="58"/>
      <c r="G546" s="48"/>
    </row>
    <row r="547" spans="2:27">
      <c r="B547" s="47" t="s">
        <v>3471</v>
      </c>
      <c r="C547" s="41" t="s">
        <v>5378</v>
      </c>
      <c r="D547" s="60"/>
      <c r="E547" s="64"/>
      <c r="F547" s="58"/>
      <c r="G547" s="48"/>
    </row>
    <row r="548" spans="2:27">
      <c r="B548" s="47" t="s">
        <v>5379</v>
      </c>
      <c r="C548" s="41" t="s">
        <v>5380</v>
      </c>
      <c r="D548" s="60"/>
      <c r="E548" s="64"/>
      <c r="F548" s="58"/>
      <c r="G548" s="48"/>
    </row>
    <row r="549" spans="2:27">
      <c r="B549" s="47" t="s">
        <v>5381</v>
      </c>
      <c r="C549" s="41" t="s">
        <v>5382</v>
      </c>
      <c r="D549" s="63"/>
      <c r="E549" s="64"/>
      <c r="F549" s="56"/>
      <c r="G549" s="46"/>
    </row>
    <row r="550" spans="2:27">
      <c r="B550" s="47" t="s">
        <v>5308</v>
      </c>
      <c r="C550" s="44" t="s">
        <v>5383</v>
      </c>
      <c r="D550" s="48"/>
      <c r="E550" s="60"/>
      <c r="F550" s="60"/>
      <c r="G550" s="60"/>
    </row>
    <row r="551" spans="2:27">
      <c r="B551" s="47" t="s">
        <v>5384</v>
      </c>
      <c r="C551" s="44" t="s">
        <v>5385</v>
      </c>
      <c r="D551" s="48"/>
      <c r="E551" s="60"/>
      <c r="F551" s="60"/>
      <c r="G551" s="60"/>
    </row>
    <row r="552" spans="2:27">
      <c r="B552" s="47" t="s">
        <v>5311</v>
      </c>
      <c r="C552" s="44" t="s">
        <v>5386</v>
      </c>
      <c r="D552" s="46"/>
      <c r="E552" s="60"/>
      <c r="F552" s="60"/>
      <c r="G552" s="60"/>
    </row>
    <row r="554" spans="2:27">
      <c r="Z554" s="13" t="str">
        <f>Show!$B$158&amp;Show!$B$158&amp;"SR.27.01.01.19 Rows {"&amp;COLUMN($C$1)&amp;"}"</f>
        <v>!!SR.27.01.01.19 Rows {3}</v>
      </c>
      <c r="AA554" s="13" t="str">
        <f>Show!$B$158&amp;Show!$B$158&amp;"SR.27.01.01.19 Columns {"&amp;COLUMN($G$1)&amp;"}"</f>
        <v>!!SR.27.01.01.19 Columns {7}</v>
      </c>
    </row>
    <row r="556" spans="2:27" ht="18.75">
      <c r="B556" s="88" t="s">
        <v>5594</v>
      </c>
      <c r="C556" s="87"/>
      <c r="D556" s="87"/>
      <c r="E556" s="87"/>
      <c r="F556" s="87"/>
      <c r="G556" s="87"/>
      <c r="H556" s="87"/>
      <c r="I556" s="87"/>
      <c r="J556" s="87"/>
      <c r="K556" s="87"/>
      <c r="L556" s="87"/>
    </row>
    <row r="558" spans="2:27">
      <c r="B558" t="s">
        <v>3110</v>
      </c>
      <c r="Z558" s="13" t="str">
        <f>Show!$B$158&amp;"SR.27.01.01.20 Table label {"&amp;COLUMN($C$1)&amp;"}"</f>
        <v>!SR.27.01.01.20 Table label {3}</v>
      </c>
      <c r="AA558" s="13" t="str">
        <f>Show!$B$158&amp;"SR.27.01.01.20 Table value {"&amp;COLUMN($D$1)&amp;"}"</f>
        <v>!SR.27.01.01.20 Table value {4}</v>
      </c>
    </row>
    <row r="559" spans="2:27">
      <c r="B559" t="s">
        <v>3111</v>
      </c>
    </row>
    <row r="560" spans="2:27">
      <c r="B560" s="40" t="s">
        <v>3788</v>
      </c>
      <c r="C560" s="53" t="s">
        <v>3115</v>
      </c>
      <c r="D560" s="51"/>
    </row>
    <row r="561" spans="2:27">
      <c r="B561" s="40" t="s">
        <v>3114</v>
      </c>
      <c r="C561" s="53" t="s">
        <v>3323</v>
      </c>
      <c r="D561" s="50"/>
    </row>
    <row r="562" spans="2:27">
      <c r="Z562" s="13" t="str">
        <f>Show!$B$158&amp;Show!$B$158&amp;"SR.27.01.01.20 Table label {"&amp;COLUMN($C$1)&amp;"}"</f>
        <v>!!SR.27.01.01.20 Table label {3}</v>
      </c>
      <c r="AA562" s="13" t="str">
        <f>Show!$B$158&amp;Show!$B$158&amp;"SR.27.01.01.20 Table value {"&amp;COLUMN($D$1)&amp;"}"</f>
        <v>!!SR.27.01.01.20 Table value {4}</v>
      </c>
    </row>
    <row r="564" spans="2:27">
      <c r="D564" s="92" t="s">
        <v>2877</v>
      </c>
      <c r="E564" s="93"/>
      <c r="F564" s="93"/>
      <c r="G564" s="93"/>
      <c r="H564" s="93"/>
      <c r="I564" s="93"/>
      <c r="J564" s="93"/>
      <c r="K564" s="93"/>
      <c r="L564" s="93"/>
      <c r="M564" s="93"/>
      <c r="N564" s="93"/>
      <c r="O564" s="94"/>
    </row>
    <row r="565" spans="2:27">
      <c r="D565" s="95"/>
      <c r="E565" s="96"/>
      <c r="F565" s="96"/>
      <c r="G565" s="96"/>
      <c r="H565" s="96"/>
      <c r="I565" s="96"/>
      <c r="J565" s="96"/>
      <c r="K565" s="96"/>
      <c r="L565" s="96"/>
      <c r="M565" s="96"/>
      <c r="N565" s="96"/>
      <c r="O565" s="97"/>
    </row>
    <row r="566" spans="2:27">
      <c r="D566" s="98" t="s">
        <v>5388</v>
      </c>
      <c r="E566" s="99"/>
      <c r="F566" s="98" t="s">
        <v>5393</v>
      </c>
      <c r="G566" s="99"/>
      <c r="H566" s="98" t="s">
        <v>5395</v>
      </c>
      <c r="I566" s="99"/>
      <c r="J566" s="98" t="s">
        <v>5396</v>
      </c>
      <c r="K566" s="99"/>
      <c r="L566" s="89" t="s">
        <v>5119</v>
      </c>
      <c r="M566" s="89" t="s">
        <v>5120</v>
      </c>
      <c r="N566" s="89" t="s">
        <v>5121</v>
      </c>
      <c r="O566" s="89" t="s">
        <v>5122</v>
      </c>
    </row>
    <row r="567" spans="2:27" ht="45">
      <c r="D567" s="55" t="s">
        <v>5389</v>
      </c>
      <c r="E567" s="55" t="s">
        <v>5391</v>
      </c>
      <c r="F567" s="55" t="s">
        <v>5389</v>
      </c>
      <c r="G567" s="55" t="s">
        <v>5391</v>
      </c>
      <c r="H567" s="55" t="s">
        <v>5389</v>
      </c>
      <c r="I567" s="55" t="s">
        <v>5391</v>
      </c>
      <c r="J567" s="55" t="s">
        <v>5389</v>
      </c>
      <c r="K567" s="55" t="s">
        <v>5391</v>
      </c>
      <c r="L567" s="91"/>
      <c r="M567" s="91"/>
      <c r="N567" s="91"/>
      <c r="O567" s="91"/>
    </row>
    <row r="568" spans="2:27">
      <c r="D568" s="45" t="s">
        <v>5390</v>
      </c>
      <c r="E568" s="45" t="s">
        <v>5392</v>
      </c>
      <c r="F568" s="45" t="s">
        <v>5394</v>
      </c>
      <c r="G568" s="45" t="s">
        <v>4027</v>
      </c>
      <c r="H568" s="45" t="s">
        <v>4030</v>
      </c>
      <c r="I568" s="45" t="s">
        <v>4031</v>
      </c>
      <c r="J568" s="45" t="s">
        <v>4032</v>
      </c>
      <c r="K568" s="45" t="s">
        <v>4033</v>
      </c>
      <c r="L568" s="45" t="s">
        <v>4034</v>
      </c>
      <c r="M568" s="45" t="s">
        <v>4035</v>
      </c>
      <c r="N568" s="45" t="s">
        <v>4036</v>
      </c>
      <c r="O568" s="45" t="s">
        <v>4037</v>
      </c>
      <c r="Z568" s="13" t="str">
        <f>Show!$B$158&amp;"SR.27.01.01.20 Rows {"&amp;COLUMN($C$1)&amp;"}"&amp;"@ForceFilingCode:true"</f>
        <v>!SR.27.01.01.20 Rows {3}@ForceFilingCode:true</v>
      </c>
      <c r="AA568" s="13" t="str">
        <f>Show!$B$158&amp;"SR.27.01.01.20 Columns {"&amp;COLUMN($D$1)&amp;"}"</f>
        <v>!SR.27.01.01.20 Columns {4}</v>
      </c>
    </row>
    <row r="569" spans="2:27">
      <c r="B569" s="43" t="s">
        <v>2880</v>
      </c>
      <c r="C569" s="44" t="s">
        <v>2878</v>
      </c>
      <c r="D569" s="58"/>
      <c r="E569" s="67"/>
      <c r="F569" s="67"/>
      <c r="G569" s="67"/>
      <c r="H569" s="67"/>
      <c r="I569" s="67"/>
      <c r="J569" s="67"/>
      <c r="K569" s="67"/>
      <c r="L569" s="67"/>
      <c r="M569" s="67"/>
      <c r="N569" s="67"/>
      <c r="O569" s="59"/>
    </row>
    <row r="570" spans="2:27">
      <c r="B570" s="47" t="s">
        <v>5397</v>
      </c>
      <c r="C570" s="44" t="s">
        <v>2878</v>
      </c>
      <c r="D570" s="56"/>
      <c r="E570" s="66"/>
      <c r="F570" s="66"/>
      <c r="G570" s="66"/>
      <c r="H570" s="66"/>
      <c r="I570" s="66"/>
      <c r="J570" s="66"/>
      <c r="K570" s="66"/>
      <c r="L570" s="66"/>
      <c r="M570" s="66"/>
      <c r="N570" s="66"/>
      <c r="O570" s="57"/>
    </row>
    <row r="571" spans="2:27">
      <c r="B571" s="49" t="s">
        <v>5124</v>
      </c>
      <c r="C571" s="41" t="s">
        <v>5398</v>
      </c>
      <c r="D571" s="50"/>
      <c r="E571" s="60"/>
      <c r="F571" s="50"/>
      <c r="G571" s="60"/>
      <c r="H571" s="50"/>
      <c r="I571" s="60"/>
      <c r="J571" s="50"/>
      <c r="K571" s="60"/>
      <c r="L571" s="60"/>
      <c r="M571" s="60"/>
      <c r="N571" s="60"/>
      <c r="O571" s="60"/>
    </row>
    <row r="572" spans="2:27">
      <c r="B572" s="49" t="s">
        <v>5125</v>
      </c>
      <c r="C572" s="41" t="s">
        <v>5399</v>
      </c>
      <c r="D572" s="50"/>
      <c r="E572" s="60"/>
      <c r="F572" s="50"/>
      <c r="G572" s="60"/>
      <c r="H572" s="50"/>
      <c r="I572" s="60"/>
      <c r="J572" s="50"/>
      <c r="K572" s="60"/>
      <c r="L572" s="60"/>
      <c r="M572" s="60"/>
      <c r="N572" s="60"/>
      <c r="O572" s="60"/>
    </row>
    <row r="573" spans="2:27">
      <c r="B573" s="49" t="s">
        <v>5174</v>
      </c>
      <c r="C573" s="41" t="s">
        <v>5400</v>
      </c>
      <c r="D573" s="50"/>
      <c r="E573" s="60"/>
      <c r="F573" s="50"/>
      <c r="G573" s="60"/>
      <c r="H573" s="50"/>
      <c r="I573" s="60"/>
      <c r="J573" s="50"/>
      <c r="K573" s="60"/>
      <c r="L573" s="60"/>
      <c r="M573" s="60"/>
      <c r="N573" s="60"/>
      <c r="O573" s="60"/>
    </row>
    <row r="574" spans="2:27">
      <c r="B574" s="49" t="s">
        <v>5175</v>
      </c>
      <c r="C574" s="41" t="s">
        <v>5401</v>
      </c>
      <c r="D574" s="50"/>
      <c r="E574" s="60"/>
      <c r="F574" s="50"/>
      <c r="G574" s="60"/>
      <c r="H574" s="50"/>
      <c r="I574" s="60"/>
      <c r="J574" s="50"/>
      <c r="K574" s="60"/>
      <c r="L574" s="60"/>
      <c r="M574" s="60"/>
      <c r="N574" s="60"/>
      <c r="O574" s="60"/>
    </row>
    <row r="575" spans="2:27">
      <c r="B575" s="49" t="s">
        <v>5176</v>
      </c>
      <c r="C575" s="41" t="s">
        <v>5402</v>
      </c>
      <c r="D575" s="50"/>
      <c r="E575" s="60"/>
      <c r="F575" s="50"/>
      <c r="G575" s="60"/>
      <c r="H575" s="50"/>
      <c r="I575" s="60"/>
      <c r="J575" s="50"/>
      <c r="K575" s="60"/>
      <c r="L575" s="60"/>
      <c r="M575" s="60"/>
      <c r="N575" s="60"/>
      <c r="O575" s="60"/>
    </row>
    <row r="576" spans="2:27">
      <c r="B576" s="49" t="s">
        <v>5126</v>
      </c>
      <c r="C576" s="41" t="s">
        <v>5403</v>
      </c>
      <c r="D576" s="50"/>
      <c r="E576" s="60"/>
      <c r="F576" s="50"/>
      <c r="G576" s="60"/>
      <c r="H576" s="50"/>
      <c r="I576" s="60"/>
      <c r="J576" s="50"/>
      <c r="K576" s="60"/>
      <c r="L576" s="60"/>
      <c r="M576" s="60"/>
      <c r="N576" s="60"/>
      <c r="O576" s="60"/>
    </row>
    <row r="577" spans="2:15">
      <c r="B577" s="49" t="s">
        <v>5128</v>
      </c>
      <c r="C577" s="41" t="s">
        <v>5404</v>
      </c>
      <c r="D577" s="50"/>
      <c r="E577" s="60"/>
      <c r="F577" s="50"/>
      <c r="G577" s="60"/>
      <c r="H577" s="50"/>
      <c r="I577" s="60"/>
      <c r="J577" s="50"/>
      <c r="K577" s="60"/>
      <c r="L577" s="60"/>
      <c r="M577" s="60"/>
      <c r="N577" s="60"/>
      <c r="O577" s="60"/>
    </row>
    <row r="578" spans="2:15">
      <c r="B578" s="49" t="s">
        <v>5405</v>
      </c>
      <c r="C578" s="41" t="s">
        <v>5406</v>
      </c>
      <c r="D578" s="50"/>
      <c r="E578" s="60"/>
      <c r="F578" s="50"/>
      <c r="G578" s="60"/>
      <c r="H578" s="50"/>
      <c r="I578" s="60"/>
      <c r="J578" s="50"/>
      <c r="K578" s="60"/>
      <c r="L578" s="60"/>
      <c r="M578" s="60"/>
      <c r="N578" s="60"/>
      <c r="O578" s="60"/>
    </row>
    <row r="579" spans="2:15">
      <c r="B579" s="49" t="s">
        <v>5140</v>
      </c>
      <c r="C579" s="41" t="s">
        <v>5407</v>
      </c>
      <c r="D579" s="50"/>
      <c r="E579" s="60"/>
      <c r="F579" s="50"/>
      <c r="G579" s="60"/>
      <c r="H579" s="50"/>
      <c r="I579" s="60"/>
      <c r="J579" s="50"/>
      <c r="K579" s="60"/>
      <c r="L579" s="60"/>
      <c r="M579" s="60"/>
      <c r="N579" s="60"/>
      <c r="O579" s="60"/>
    </row>
    <row r="580" spans="2:15">
      <c r="B580" s="49" t="s">
        <v>5408</v>
      </c>
      <c r="C580" s="41" t="s">
        <v>5409</v>
      </c>
      <c r="D580" s="50"/>
      <c r="E580" s="60"/>
      <c r="F580" s="50"/>
      <c r="G580" s="60"/>
      <c r="H580" s="50"/>
      <c r="I580" s="60"/>
      <c r="J580" s="50"/>
      <c r="K580" s="60"/>
      <c r="L580" s="60"/>
      <c r="M580" s="60"/>
      <c r="N580" s="60"/>
      <c r="O580" s="60"/>
    </row>
    <row r="581" spans="2:15">
      <c r="B581" s="49" t="s">
        <v>5177</v>
      </c>
      <c r="C581" s="41" t="s">
        <v>5410</v>
      </c>
      <c r="D581" s="50"/>
      <c r="E581" s="60"/>
      <c r="F581" s="50"/>
      <c r="G581" s="60"/>
      <c r="H581" s="50"/>
      <c r="I581" s="60"/>
      <c r="J581" s="50"/>
      <c r="K581" s="60"/>
      <c r="L581" s="60"/>
      <c r="M581" s="60"/>
      <c r="N581" s="60"/>
      <c r="O581" s="60"/>
    </row>
    <row r="582" spans="2:15">
      <c r="B582" s="49" t="s">
        <v>5132</v>
      </c>
      <c r="C582" s="41" t="s">
        <v>5411</v>
      </c>
      <c r="D582" s="50"/>
      <c r="E582" s="60"/>
      <c r="F582" s="50"/>
      <c r="G582" s="60"/>
      <c r="H582" s="50"/>
      <c r="I582" s="60"/>
      <c r="J582" s="50"/>
      <c r="K582" s="60"/>
      <c r="L582" s="60"/>
      <c r="M582" s="60"/>
      <c r="N582" s="60"/>
      <c r="O582" s="60"/>
    </row>
    <row r="583" spans="2:15">
      <c r="B583" s="49" t="s">
        <v>5133</v>
      </c>
      <c r="C583" s="41" t="s">
        <v>5412</v>
      </c>
      <c r="D583" s="50"/>
      <c r="E583" s="60"/>
      <c r="F583" s="50"/>
      <c r="G583" s="60"/>
      <c r="H583" s="50"/>
      <c r="I583" s="60"/>
      <c r="J583" s="50"/>
      <c r="K583" s="60"/>
      <c r="L583" s="60"/>
      <c r="M583" s="60"/>
      <c r="N583" s="60"/>
      <c r="O583" s="60"/>
    </row>
    <row r="584" spans="2:15">
      <c r="B584" s="49" t="s">
        <v>5134</v>
      </c>
      <c r="C584" s="41" t="s">
        <v>5413</v>
      </c>
      <c r="D584" s="50"/>
      <c r="E584" s="60"/>
      <c r="F584" s="50"/>
      <c r="G584" s="60"/>
      <c r="H584" s="50"/>
      <c r="I584" s="60"/>
      <c r="J584" s="50"/>
      <c r="K584" s="60"/>
      <c r="L584" s="60"/>
      <c r="M584" s="60"/>
      <c r="N584" s="60"/>
      <c r="O584" s="60"/>
    </row>
    <row r="585" spans="2:15">
      <c r="B585" s="49" t="s">
        <v>5135</v>
      </c>
      <c r="C585" s="41" t="s">
        <v>5414</v>
      </c>
      <c r="D585" s="50"/>
      <c r="E585" s="60"/>
      <c r="F585" s="50"/>
      <c r="G585" s="60"/>
      <c r="H585" s="50"/>
      <c r="I585" s="60"/>
      <c r="J585" s="50"/>
      <c r="K585" s="60"/>
      <c r="L585" s="60"/>
      <c r="M585" s="60"/>
      <c r="N585" s="60"/>
      <c r="O585" s="60"/>
    </row>
    <row r="586" spans="2:15">
      <c r="B586" s="49" t="s">
        <v>5178</v>
      </c>
      <c r="C586" s="41" t="s">
        <v>5415</v>
      </c>
      <c r="D586" s="50"/>
      <c r="E586" s="60"/>
      <c r="F586" s="50"/>
      <c r="G586" s="60"/>
      <c r="H586" s="50"/>
      <c r="I586" s="60"/>
      <c r="J586" s="50"/>
      <c r="K586" s="60"/>
      <c r="L586" s="60"/>
      <c r="M586" s="60"/>
      <c r="N586" s="60"/>
      <c r="O586" s="60"/>
    </row>
    <row r="587" spans="2:15">
      <c r="B587" s="49" t="s">
        <v>5416</v>
      </c>
      <c r="C587" s="41" t="s">
        <v>5417</v>
      </c>
      <c r="D587" s="50"/>
      <c r="E587" s="60"/>
      <c r="F587" s="50"/>
      <c r="G587" s="60"/>
      <c r="H587" s="50"/>
      <c r="I587" s="60"/>
      <c r="J587" s="50"/>
      <c r="K587" s="60"/>
      <c r="L587" s="60"/>
      <c r="M587" s="60"/>
      <c r="N587" s="60"/>
      <c r="O587" s="60"/>
    </row>
    <row r="588" spans="2:15">
      <c r="B588" s="49" t="s">
        <v>5418</v>
      </c>
      <c r="C588" s="41" t="s">
        <v>5419</v>
      </c>
      <c r="D588" s="50"/>
      <c r="E588" s="60"/>
      <c r="F588" s="50"/>
      <c r="G588" s="60"/>
      <c r="H588" s="50"/>
      <c r="I588" s="60"/>
      <c r="J588" s="50"/>
      <c r="K588" s="60"/>
      <c r="L588" s="60"/>
      <c r="M588" s="60"/>
      <c r="N588" s="60"/>
      <c r="O588" s="60"/>
    </row>
    <row r="589" spans="2:15">
      <c r="B589" s="49" t="s">
        <v>5136</v>
      </c>
      <c r="C589" s="41" t="s">
        <v>5420</v>
      </c>
      <c r="D589" s="50"/>
      <c r="E589" s="60"/>
      <c r="F589" s="50"/>
      <c r="G589" s="60"/>
      <c r="H589" s="50"/>
      <c r="I589" s="60"/>
      <c r="J589" s="50"/>
      <c r="K589" s="60"/>
      <c r="L589" s="60"/>
      <c r="M589" s="60"/>
      <c r="N589" s="60"/>
      <c r="O589" s="60"/>
    </row>
    <row r="590" spans="2:15">
      <c r="B590" s="49" t="s">
        <v>5179</v>
      </c>
      <c r="C590" s="41" t="s">
        <v>5421</v>
      </c>
      <c r="D590" s="50"/>
      <c r="E590" s="60"/>
      <c r="F590" s="50"/>
      <c r="G590" s="60"/>
      <c r="H590" s="50"/>
      <c r="I590" s="60"/>
      <c r="J590" s="50"/>
      <c r="K590" s="60"/>
      <c r="L590" s="60"/>
      <c r="M590" s="60"/>
      <c r="N590" s="60"/>
      <c r="O590" s="60"/>
    </row>
    <row r="591" spans="2:15">
      <c r="B591" s="49" t="s">
        <v>5137</v>
      </c>
      <c r="C591" s="41" t="s">
        <v>5422</v>
      </c>
      <c r="D591" s="50"/>
      <c r="E591" s="60"/>
      <c r="F591" s="50"/>
      <c r="G591" s="60"/>
      <c r="H591" s="50"/>
      <c r="I591" s="60"/>
      <c r="J591" s="50"/>
      <c r="K591" s="60"/>
      <c r="L591" s="60"/>
      <c r="M591" s="60"/>
      <c r="N591" s="60"/>
      <c r="O591" s="60"/>
    </row>
    <row r="592" spans="2:15">
      <c r="B592" s="49" t="s">
        <v>5138</v>
      </c>
      <c r="C592" s="41" t="s">
        <v>5423</v>
      </c>
      <c r="D592" s="50"/>
      <c r="E592" s="60"/>
      <c r="F592" s="50"/>
      <c r="G592" s="60"/>
      <c r="H592" s="50"/>
      <c r="I592" s="60"/>
      <c r="J592" s="50"/>
      <c r="K592" s="60"/>
      <c r="L592" s="60"/>
      <c r="M592" s="60"/>
      <c r="N592" s="60"/>
      <c r="O592" s="60"/>
    </row>
    <row r="593" spans="2:27">
      <c r="B593" s="49" t="s">
        <v>5139</v>
      </c>
      <c r="C593" s="41" t="s">
        <v>5424</v>
      </c>
      <c r="D593" s="50"/>
      <c r="E593" s="60"/>
      <c r="F593" s="50"/>
      <c r="G593" s="60"/>
      <c r="H593" s="50"/>
      <c r="I593" s="60"/>
      <c r="J593" s="50"/>
      <c r="K593" s="60"/>
      <c r="L593" s="60"/>
      <c r="M593" s="60"/>
      <c r="N593" s="60"/>
      <c r="O593" s="60"/>
    </row>
    <row r="594" spans="2:27">
      <c r="B594" s="49" t="s">
        <v>5180</v>
      </c>
      <c r="C594" s="41" t="s">
        <v>5425</v>
      </c>
      <c r="D594" s="50"/>
      <c r="E594" s="60"/>
      <c r="F594" s="50"/>
      <c r="G594" s="60"/>
      <c r="H594" s="50"/>
      <c r="I594" s="60"/>
      <c r="J594" s="50"/>
      <c r="K594" s="60"/>
      <c r="L594" s="60"/>
      <c r="M594" s="60"/>
      <c r="N594" s="60"/>
      <c r="O594" s="60"/>
    </row>
    <row r="595" spans="2:27">
      <c r="B595" s="49" t="s">
        <v>5181</v>
      </c>
      <c r="C595" s="41" t="s">
        <v>5426</v>
      </c>
      <c r="D595" s="50"/>
      <c r="E595" s="60"/>
      <c r="F595" s="50"/>
      <c r="G595" s="60"/>
      <c r="H595" s="50"/>
      <c r="I595" s="60"/>
      <c r="J595" s="50"/>
      <c r="K595" s="60"/>
      <c r="L595" s="60"/>
      <c r="M595" s="60"/>
      <c r="N595" s="60"/>
      <c r="O595" s="60"/>
    </row>
    <row r="596" spans="2:27">
      <c r="B596" s="49" t="s">
        <v>5182</v>
      </c>
      <c r="C596" s="41" t="s">
        <v>5427</v>
      </c>
      <c r="D596" s="50"/>
      <c r="E596" s="60"/>
      <c r="F596" s="50"/>
      <c r="G596" s="60"/>
      <c r="H596" s="50"/>
      <c r="I596" s="60"/>
      <c r="J596" s="50"/>
      <c r="K596" s="60"/>
      <c r="L596" s="60"/>
      <c r="M596" s="60"/>
      <c r="N596" s="60"/>
      <c r="O596" s="60"/>
    </row>
    <row r="597" spans="2:27">
      <c r="B597" s="49" t="s">
        <v>5129</v>
      </c>
      <c r="C597" s="41" t="s">
        <v>5428</v>
      </c>
      <c r="D597" s="50"/>
      <c r="E597" s="60"/>
      <c r="F597" s="50"/>
      <c r="G597" s="60"/>
      <c r="H597" s="50"/>
      <c r="I597" s="60"/>
      <c r="J597" s="50"/>
      <c r="K597" s="60"/>
      <c r="L597" s="60"/>
      <c r="M597" s="60"/>
      <c r="N597" s="60"/>
      <c r="O597" s="60"/>
    </row>
    <row r="598" spans="2:27">
      <c r="B598" s="49" t="s">
        <v>5142</v>
      </c>
      <c r="C598" s="41" t="s">
        <v>5429</v>
      </c>
      <c r="D598" s="50"/>
      <c r="E598" s="60"/>
      <c r="F598" s="50"/>
      <c r="G598" s="60"/>
      <c r="H598" s="50"/>
      <c r="I598" s="60"/>
      <c r="J598" s="50"/>
      <c r="K598" s="60"/>
      <c r="L598" s="60"/>
      <c r="M598" s="60"/>
      <c r="N598" s="60"/>
      <c r="O598" s="60"/>
    </row>
    <row r="599" spans="2:27">
      <c r="B599" s="49" t="s">
        <v>5143</v>
      </c>
      <c r="C599" s="41" t="s">
        <v>5430</v>
      </c>
      <c r="D599" s="50"/>
      <c r="E599" s="60"/>
      <c r="F599" s="50"/>
      <c r="G599" s="60"/>
      <c r="H599" s="50"/>
      <c r="I599" s="60"/>
      <c r="J599" s="50"/>
      <c r="K599" s="60"/>
      <c r="L599" s="60"/>
      <c r="M599" s="60"/>
      <c r="N599" s="60"/>
      <c r="O599" s="60"/>
    </row>
    <row r="600" spans="2:27">
      <c r="B600" s="49" t="s">
        <v>5431</v>
      </c>
      <c r="C600" s="41" t="s">
        <v>5432</v>
      </c>
      <c r="D600" s="50"/>
      <c r="E600" s="60"/>
      <c r="F600" s="50"/>
      <c r="G600" s="60"/>
      <c r="H600" s="50"/>
      <c r="I600" s="60"/>
      <c r="J600" s="50"/>
      <c r="K600" s="60"/>
      <c r="L600" s="60"/>
      <c r="M600" s="60"/>
      <c r="N600" s="60"/>
      <c r="O600" s="60"/>
    </row>
    <row r="601" spans="2:27">
      <c r="B601" s="49" t="s">
        <v>5144</v>
      </c>
      <c r="C601" s="41" t="s">
        <v>5433</v>
      </c>
      <c r="D601" s="74"/>
      <c r="E601" s="63"/>
      <c r="F601" s="74"/>
      <c r="G601" s="63"/>
      <c r="H601" s="74"/>
      <c r="I601" s="63"/>
      <c r="J601" s="74"/>
      <c r="K601" s="63"/>
      <c r="L601" s="60"/>
      <c r="M601" s="60"/>
      <c r="N601" s="60"/>
      <c r="O601" s="60"/>
    </row>
    <row r="602" spans="2:27">
      <c r="B602" s="49" t="s">
        <v>5434</v>
      </c>
      <c r="C602" s="44" t="s">
        <v>5435</v>
      </c>
      <c r="D602" s="58"/>
      <c r="E602" s="58"/>
      <c r="F602" s="58"/>
      <c r="G602" s="58"/>
      <c r="H602" s="58"/>
      <c r="I602" s="58"/>
      <c r="J602" s="58"/>
      <c r="K602" s="48"/>
      <c r="L602" s="60"/>
      <c r="M602" s="63"/>
      <c r="N602" s="63"/>
      <c r="O602" s="60"/>
    </row>
    <row r="603" spans="2:27">
      <c r="B603" s="49" t="s">
        <v>5436</v>
      </c>
      <c r="C603" s="44" t="s">
        <v>5437</v>
      </c>
      <c r="D603" s="58"/>
      <c r="E603" s="58"/>
      <c r="F603" s="58"/>
      <c r="G603" s="58"/>
      <c r="H603" s="58"/>
      <c r="I603" s="58"/>
      <c r="J603" s="58"/>
      <c r="K603" s="48"/>
      <c r="L603" s="64"/>
      <c r="M603" s="58"/>
      <c r="N603" s="48"/>
      <c r="O603" s="60"/>
    </row>
    <row r="604" spans="2:27">
      <c r="B604" s="49" t="s">
        <v>5438</v>
      </c>
      <c r="C604" s="44" t="s">
        <v>5439</v>
      </c>
      <c r="D604" s="56"/>
      <c r="E604" s="56"/>
      <c r="F604" s="56"/>
      <c r="G604" s="56"/>
      <c r="H604" s="56"/>
      <c r="I604" s="56"/>
      <c r="J604" s="56"/>
      <c r="K604" s="46"/>
      <c r="L604" s="64"/>
      <c r="M604" s="56"/>
      <c r="N604" s="46"/>
      <c r="O604" s="60"/>
    </row>
    <row r="606" spans="2:27">
      <c r="Z606" s="13" t="str">
        <f>Show!$B$158&amp;Show!$B$158&amp;"SR.27.01.01.20 Rows {"&amp;COLUMN($C$1)&amp;"}"</f>
        <v>!!SR.27.01.01.20 Rows {3}</v>
      </c>
      <c r="AA606" s="13" t="str">
        <f>Show!$B$158&amp;Show!$B$158&amp;"SR.27.01.01.20 Columns {"&amp;COLUMN($O$1)&amp;"}"</f>
        <v>!!SR.27.01.01.20 Columns {15}</v>
      </c>
    </row>
    <row r="608" spans="2:27" ht="18.75">
      <c r="B608" s="88" t="s">
        <v>5595</v>
      </c>
      <c r="C608" s="87"/>
      <c r="D608" s="87"/>
      <c r="E608" s="87"/>
      <c r="F608" s="87"/>
      <c r="G608" s="87"/>
      <c r="H608" s="87"/>
      <c r="I608" s="87"/>
      <c r="J608" s="87"/>
      <c r="K608" s="87"/>
      <c r="L608" s="87"/>
    </row>
    <row r="610" spans="2:27">
      <c r="B610" t="s">
        <v>3110</v>
      </c>
      <c r="Z610" s="13" t="str">
        <f>Show!$B$158&amp;"SR.27.01.01.21 Table label {"&amp;COLUMN($C$1)&amp;"}"</f>
        <v>!SR.27.01.01.21 Table label {3}</v>
      </c>
      <c r="AA610" s="13" t="str">
        <f>Show!$B$158&amp;"SR.27.01.01.21 Table value {"&amp;COLUMN($D$1)&amp;"}"</f>
        <v>!SR.27.01.01.21 Table value {4}</v>
      </c>
    </row>
    <row r="611" spans="2:27">
      <c r="B611" t="s">
        <v>3111</v>
      </c>
    </row>
    <row r="612" spans="2:27">
      <c r="B612" s="40" t="s">
        <v>3788</v>
      </c>
      <c r="C612" s="53" t="s">
        <v>3115</v>
      </c>
      <c r="D612" s="51"/>
    </row>
    <row r="613" spans="2:27">
      <c r="B613" s="40" t="s">
        <v>3114</v>
      </c>
      <c r="C613" s="53" t="s">
        <v>3323</v>
      </c>
      <c r="D613" s="50"/>
    </row>
    <row r="614" spans="2:27">
      <c r="Z614" s="13" t="str">
        <f>Show!$B$158&amp;Show!$B$158&amp;"SR.27.01.01.21 Table label {"&amp;COLUMN($C$1)&amp;"}"</f>
        <v>!!SR.27.01.01.21 Table label {3}</v>
      </c>
      <c r="AA614" s="13" t="str">
        <f>Show!$B$158&amp;Show!$B$158&amp;"SR.27.01.01.21 Table value {"&amp;COLUMN($D$1)&amp;"}"</f>
        <v>!!SR.27.01.01.21 Table value {4}</v>
      </c>
    </row>
    <row r="616" spans="2:27">
      <c r="D616" s="92" t="s">
        <v>2877</v>
      </c>
      <c r="E616" s="93"/>
      <c r="F616" s="93"/>
      <c r="G616" s="93"/>
      <c r="H616" s="93"/>
      <c r="I616" s="93"/>
      <c r="J616" s="93"/>
      <c r="K616" s="93"/>
      <c r="L616" s="94"/>
    </row>
    <row r="617" spans="2:27">
      <c r="D617" s="95"/>
      <c r="E617" s="96"/>
      <c r="F617" s="96"/>
      <c r="G617" s="96"/>
      <c r="H617" s="96"/>
      <c r="I617" s="96"/>
      <c r="J617" s="96"/>
      <c r="K617" s="96"/>
      <c r="L617" s="97"/>
    </row>
    <row r="618" spans="2:27">
      <c r="D618" s="89" t="s">
        <v>5441</v>
      </c>
      <c r="E618" s="98" t="s">
        <v>5442</v>
      </c>
      <c r="F618" s="100"/>
      <c r="G618" s="100"/>
      <c r="H618" s="99"/>
      <c r="I618" s="89" t="s">
        <v>5119</v>
      </c>
      <c r="J618" s="89" t="s">
        <v>5120</v>
      </c>
      <c r="K618" s="89" t="s">
        <v>5121</v>
      </c>
      <c r="L618" s="89" t="s">
        <v>5122</v>
      </c>
    </row>
    <row r="619" spans="2:27" ht="30">
      <c r="D619" s="91"/>
      <c r="E619" s="55" t="s">
        <v>5388</v>
      </c>
      <c r="F619" s="55" t="s">
        <v>5393</v>
      </c>
      <c r="G619" s="55" t="s">
        <v>5395</v>
      </c>
      <c r="H619" s="55" t="s">
        <v>5396</v>
      </c>
      <c r="I619" s="91"/>
      <c r="J619" s="91"/>
      <c r="K619" s="91"/>
      <c r="L619" s="91"/>
    </row>
    <row r="620" spans="2:27">
      <c r="D620" s="45" t="s">
        <v>4038</v>
      </c>
      <c r="E620" s="45" t="s">
        <v>4039</v>
      </c>
      <c r="F620" s="45" t="s">
        <v>4040</v>
      </c>
      <c r="G620" s="45" t="s">
        <v>4042</v>
      </c>
      <c r="H620" s="45" t="s">
        <v>4044</v>
      </c>
      <c r="I620" s="45" t="s">
        <v>4045</v>
      </c>
      <c r="J620" s="45" t="s">
        <v>5443</v>
      </c>
      <c r="K620" s="45" t="s">
        <v>5444</v>
      </c>
      <c r="L620" s="45" t="s">
        <v>4047</v>
      </c>
      <c r="Z620" s="13" t="str">
        <f>Show!$B$158&amp;"SR.27.01.01.21 Rows {"&amp;COLUMN($C$1)&amp;"}"&amp;"@ForceFilingCode:true"</f>
        <v>!SR.27.01.01.21 Rows {3}@ForceFilingCode:true</v>
      </c>
      <c r="AA620" s="13" t="str">
        <f>Show!$B$158&amp;"SR.27.01.01.21 Columns {"&amp;COLUMN($D$1)&amp;"}"</f>
        <v>!SR.27.01.01.21 Columns {4}</v>
      </c>
    </row>
    <row r="621" spans="2:27">
      <c r="B621" s="43" t="s">
        <v>2880</v>
      </c>
      <c r="C621" s="44" t="s">
        <v>2878</v>
      </c>
      <c r="D621" s="58"/>
      <c r="E621" s="67"/>
      <c r="F621" s="67"/>
      <c r="G621" s="67"/>
      <c r="H621" s="67"/>
      <c r="I621" s="67"/>
      <c r="J621" s="67"/>
      <c r="K621" s="67"/>
      <c r="L621" s="59"/>
    </row>
    <row r="622" spans="2:27">
      <c r="B622" s="47" t="s">
        <v>5445</v>
      </c>
      <c r="C622" s="44" t="s">
        <v>2878</v>
      </c>
      <c r="D622" s="56"/>
      <c r="E622" s="66"/>
      <c r="F622" s="66"/>
      <c r="G622" s="66"/>
      <c r="H622" s="66"/>
      <c r="I622" s="66"/>
      <c r="J622" s="66"/>
      <c r="K622" s="66"/>
      <c r="L622" s="57"/>
    </row>
    <row r="623" spans="2:27">
      <c r="B623" s="49" t="s">
        <v>5124</v>
      </c>
      <c r="C623" s="41" t="s">
        <v>5446</v>
      </c>
      <c r="D623" s="50"/>
      <c r="E623" s="60"/>
      <c r="F623" s="60"/>
      <c r="G623" s="60"/>
      <c r="H623" s="60"/>
      <c r="I623" s="60"/>
      <c r="J623" s="60"/>
      <c r="K623" s="60"/>
      <c r="L623" s="60"/>
    </row>
    <row r="624" spans="2:27">
      <c r="B624" s="49" t="s">
        <v>5125</v>
      </c>
      <c r="C624" s="41" t="s">
        <v>5447</v>
      </c>
      <c r="D624" s="50"/>
      <c r="E624" s="60"/>
      <c r="F624" s="60"/>
      <c r="G624" s="60"/>
      <c r="H624" s="60"/>
      <c r="I624" s="60"/>
      <c r="J624" s="60"/>
      <c r="K624" s="60"/>
      <c r="L624" s="60"/>
    </row>
    <row r="625" spans="2:12">
      <c r="B625" s="49" t="s">
        <v>5174</v>
      </c>
      <c r="C625" s="41" t="s">
        <v>5448</v>
      </c>
      <c r="D625" s="50"/>
      <c r="E625" s="60"/>
      <c r="F625" s="60"/>
      <c r="G625" s="60"/>
      <c r="H625" s="60"/>
      <c r="I625" s="60"/>
      <c r="J625" s="60"/>
      <c r="K625" s="60"/>
      <c r="L625" s="60"/>
    </row>
    <row r="626" spans="2:12">
      <c r="B626" s="49" t="s">
        <v>5175</v>
      </c>
      <c r="C626" s="41" t="s">
        <v>5449</v>
      </c>
      <c r="D626" s="50"/>
      <c r="E626" s="60"/>
      <c r="F626" s="60"/>
      <c r="G626" s="60"/>
      <c r="H626" s="60"/>
      <c r="I626" s="60"/>
      <c r="J626" s="60"/>
      <c r="K626" s="60"/>
      <c r="L626" s="60"/>
    </row>
    <row r="627" spans="2:12">
      <c r="B627" s="49" t="s">
        <v>5176</v>
      </c>
      <c r="C627" s="41" t="s">
        <v>5450</v>
      </c>
      <c r="D627" s="50"/>
      <c r="E627" s="60"/>
      <c r="F627" s="60"/>
      <c r="G627" s="60"/>
      <c r="H627" s="60"/>
      <c r="I627" s="60"/>
      <c r="J627" s="60"/>
      <c r="K627" s="60"/>
      <c r="L627" s="60"/>
    </row>
    <row r="628" spans="2:12">
      <c r="B628" s="49" t="s">
        <v>5126</v>
      </c>
      <c r="C628" s="41" t="s">
        <v>5451</v>
      </c>
      <c r="D628" s="50"/>
      <c r="E628" s="60"/>
      <c r="F628" s="60"/>
      <c r="G628" s="60"/>
      <c r="H628" s="60"/>
      <c r="I628" s="60"/>
      <c r="J628" s="60"/>
      <c r="K628" s="60"/>
      <c r="L628" s="60"/>
    </row>
    <row r="629" spans="2:12">
      <c r="B629" s="49" t="s">
        <v>5128</v>
      </c>
      <c r="C629" s="41" t="s">
        <v>5452</v>
      </c>
      <c r="D629" s="50"/>
      <c r="E629" s="60"/>
      <c r="F629" s="60"/>
      <c r="G629" s="60"/>
      <c r="H629" s="60"/>
      <c r="I629" s="60"/>
      <c r="J629" s="60"/>
      <c r="K629" s="60"/>
      <c r="L629" s="60"/>
    </row>
    <row r="630" spans="2:12">
      <c r="B630" s="49" t="s">
        <v>5405</v>
      </c>
      <c r="C630" s="41" t="s">
        <v>5453</v>
      </c>
      <c r="D630" s="50"/>
      <c r="E630" s="60"/>
      <c r="F630" s="60"/>
      <c r="G630" s="60"/>
      <c r="H630" s="60"/>
      <c r="I630" s="60"/>
      <c r="J630" s="60"/>
      <c r="K630" s="60"/>
      <c r="L630" s="60"/>
    </row>
    <row r="631" spans="2:12">
      <c r="B631" s="49" t="s">
        <v>5140</v>
      </c>
      <c r="C631" s="41" t="s">
        <v>5454</v>
      </c>
      <c r="D631" s="50"/>
      <c r="E631" s="60"/>
      <c r="F631" s="60"/>
      <c r="G631" s="60"/>
      <c r="H631" s="60"/>
      <c r="I631" s="60"/>
      <c r="J631" s="60"/>
      <c r="K631" s="60"/>
      <c r="L631" s="60"/>
    </row>
    <row r="632" spans="2:12">
      <c r="B632" s="49" t="s">
        <v>5455</v>
      </c>
      <c r="C632" s="41" t="s">
        <v>5456</v>
      </c>
      <c r="D632" s="50"/>
      <c r="E632" s="60"/>
      <c r="F632" s="60"/>
      <c r="G632" s="60"/>
      <c r="H632" s="60"/>
      <c r="I632" s="60"/>
      <c r="J632" s="60"/>
      <c r="K632" s="60"/>
      <c r="L632" s="60"/>
    </row>
    <row r="633" spans="2:12">
      <c r="B633" s="49" t="s">
        <v>5177</v>
      </c>
      <c r="C633" s="41" t="s">
        <v>5457</v>
      </c>
      <c r="D633" s="50"/>
      <c r="E633" s="60"/>
      <c r="F633" s="60"/>
      <c r="G633" s="60"/>
      <c r="H633" s="60"/>
      <c r="I633" s="60"/>
      <c r="J633" s="60"/>
      <c r="K633" s="60"/>
      <c r="L633" s="60"/>
    </row>
    <row r="634" spans="2:12">
      <c r="B634" s="49" t="s">
        <v>5132</v>
      </c>
      <c r="C634" s="41" t="s">
        <v>5458</v>
      </c>
      <c r="D634" s="50"/>
      <c r="E634" s="60"/>
      <c r="F634" s="60"/>
      <c r="G634" s="60"/>
      <c r="H634" s="60"/>
      <c r="I634" s="60"/>
      <c r="J634" s="60"/>
      <c r="K634" s="60"/>
      <c r="L634" s="60"/>
    </row>
    <row r="635" spans="2:12">
      <c r="B635" s="49" t="s">
        <v>5133</v>
      </c>
      <c r="C635" s="41" t="s">
        <v>5459</v>
      </c>
      <c r="D635" s="50"/>
      <c r="E635" s="60"/>
      <c r="F635" s="60"/>
      <c r="G635" s="60"/>
      <c r="H635" s="60"/>
      <c r="I635" s="60"/>
      <c r="J635" s="60"/>
      <c r="K635" s="60"/>
      <c r="L635" s="60"/>
    </row>
    <row r="636" spans="2:12">
      <c r="B636" s="49" t="s">
        <v>5134</v>
      </c>
      <c r="C636" s="41" t="s">
        <v>5460</v>
      </c>
      <c r="D636" s="50"/>
      <c r="E636" s="60"/>
      <c r="F636" s="60"/>
      <c r="G636" s="60"/>
      <c r="H636" s="60"/>
      <c r="I636" s="60"/>
      <c r="J636" s="60"/>
      <c r="K636" s="60"/>
      <c r="L636" s="60"/>
    </row>
    <row r="637" spans="2:12">
      <c r="B637" s="49" t="s">
        <v>5135</v>
      </c>
      <c r="C637" s="41" t="s">
        <v>5461</v>
      </c>
      <c r="D637" s="50"/>
      <c r="E637" s="60"/>
      <c r="F637" s="60"/>
      <c r="G637" s="60"/>
      <c r="H637" s="60"/>
      <c r="I637" s="60"/>
      <c r="J637" s="60"/>
      <c r="K637" s="60"/>
      <c r="L637" s="60"/>
    </row>
    <row r="638" spans="2:12">
      <c r="B638" s="49" t="s">
        <v>5462</v>
      </c>
      <c r="C638" s="41" t="s">
        <v>5463</v>
      </c>
      <c r="D638" s="50"/>
      <c r="E638" s="60"/>
      <c r="F638" s="60"/>
      <c r="G638" s="60"/>
      <c r="H638" s="60"/>
      <c r="I638" s="60"/>
      <c r="J638" s="60"/>
      <c r="K638" s="60"/>
      <c r="L638" s="60"/>
    </row>
    <row r="639" spans="2:12">
      <c r="B639" s="49" t="s">
        <v>5416</v>
      </c>
      <c r="C639" s="41" t="s">
        <v>5464</v>
      </c>
      <c r="D639" s="50"/>
      <c r="E639" s="60"/>
      <c r="F639" s="60"/>
      <c r="G639" s="60"/>
      <c r="H639" s="60"/>
      <c r="I639" s="60"/>
      <c r="J639" s="60"/>
      <c r="K639" s="60"/>
      <c r="L639" s="60"/>
    </row>
    <row r="640" spans="2:12">
      <c r="B640" s="49" t="s">
        <v>5418</v>
      </c>
      <c r="C640" s="41" t="s">
        <v>5465</v>
      </c>
      <c r="D640" s="50"/>
      <c r="E640" s="60"/>
      <c r="F640" s="60"/>
      <c r="G640" s="60"/>
      <c r="H640" s="60"/>
      <c r="I640" s="60"/>
      <c r="J640" s="60"/>
      <c r="K640" s="60"/>
      <c r="L640" s="60"/>
    </row>
    <row r="641" spans="2:27">
      <c r="B641" s="49" t="s">
        <v>5136</v>
      </c>
      <c r="C641" s="41" t="s">
        <v>5466</v>
      </c>
      <c r="D641" s="50"/>
      <c r="E641" s="60"/>
      <c r="F641" s="60"/>
      <c r="G641" s="60"/>
      <c r="H641" s="60"/>
      <c r="I641" s="60"/>
      <c r="J641" s="60"/>
      <c r="K641" s="60"/>
      <c r="L641" s="60"/>
    </row>
    <row r="642" spans="2:27">
      <c r="B642" s="49" t="s">
        <v>5179</v>
      </c>
      <c r="C642" s="41" t="s">
        <v>5467</v>
      </c>
      <c r="D642" s="50"/>
      <c r="E642" s="60"/>
      <c r="F642" s="60"/>
      <c r="G642" s="60"/>
      <c r="H642" s="60"/>
      <c r="I642" s="60"/>
      <c r="J642" s="60"/>
      <c r="K642" s="60"/>
      <c r="L642" s="60"/>
    </row>
    <row r="643" spans="2:27">
      <c r="B643" s="49" t="s">
        <v>5137</v>
      </c>
      <c r="C643" s="41" t="s">
        <v>5468</v>
      </c>
      <c r="D643" s="50"/>
      <c r="E643" s="60"/>
      <c r="F643" s="60"/>
      <c r="G643" s="60"/>
      <c r="H643" s="60"/>
      <c r="I643" s="60"/>
      <c r="J643" s="60"/>
      <c r="K643" s="60"/>
      <c r="L643" s="60"/>
    </row>
    <row r="644" spans="2:27">
      <c r="B644" s="49" t="s">
        <v>5138</v>
      </c>
      <c r="C644" s="41" t="s">
        <v>5469</v>
      </c>
      <c r="D644" s="50"/>
      <c r="E644" s="60"/>
      <c r="F644" s="60"/>
      <c r="G644" s="60"/>
      <c r="H644" s="60"/>
      <c r="I644" s="60"/>
      <c r="J644" s="60"/>
      <c r="K644" s="60"/>
      <c r="L644" s="60"/>
    </row>
    <row r="645" spans="2:27">
      <c r="B645" s="49" t="s">
        <v>5139</v>
      </c>
      <c r="C645" s="41" t="s">
        <v>5470</v>
      </c>
      <c r="D645" s="50"/>
      <c r="E645" s="60"/>
      <c r="F645" s="60"/>
      <c r="G645" s="60"/>
      <c r="H645" s="60"/>
      <c r="I645" s="60"/>
      <c r="J645" s="60"/>
      <c r="K645" s="60"/>
      <c r="L645" s="60"/>
    </row>
    <row r="646" spans="2:27">
      <c r="B646" s="49" t="s">
        <v>5180</v>
      </c>
      <c r="C646" s="41" t="s">
        <v>5471</v>
      </c>
      <c r="D646" s="50"/>
      <c r="E646" s="60"/>
      <c r="F646" s="60"/>
      <c r="G646" s="60"/>
      <c r="H646" s="60"/>
      <c r="I646" s="60"/>
      <c r="J646" s="60"/>
      <c r="K646" s="60"/>
      <c r="L646" s="60"/>
    </row>
    <row r="647" spans="2:27">
      <c r="B647" s="49" t="s">
        <v>5181</v>
      </c>
      <c r="C647" s="41" t="s">
        <v>5472</v>
      </c>
      <c r="D647" s="50"/>
      <c r="E647" s="60"/>
      <c r="F647" s="60"/>
      <c r="G647" s="60"/>
      <c r="H647" s="60"/>
      <c r="I647" s="60"/>
      <c r="J647" s="60"/>
      <c r="K647" s="60"/>
      <c r="L647" s="60"/>
    </row>
    <row r="648" spans="2:27">
      <c r="B648" s="49" t="s">
        <v>5182</v>
      </c>
      <c r="C648" s="41" t="s">
        <v>5473</v>
      </c>
      <c r="D648" s="50"/>
      <c r="E648" s="60"/>
      <c r="F648" s="60"/>
      <c r="G648" s="60"/>
      <c r="H648" s="60"/>
      <c r="I648" s="60"/>
      <c r="J648" s="60"/>
      <c r="K648" s="60"/>
      <c r="L648" s="60"/>
    </row>
    <row r="649" spans="2:27">
      <c r="B649" s="49" t="s">
        <v>5129</v>
      </c>
      <c r="C649" s="41" t="s">
        <v>5474</v>
      </c>
      <c r="D649" s="50"/>
      <c r="E649" s="60"/>
      <c r="F649" s="60"/>
      <c r="G649" s="60"/>
      <c r="H649" s="60"/>
      <c r="I649" s="60"/>
      <c r="J649" s="60"/>
      <c r="K649" s="60"/>
      <c r="L649" s="60"/>
    </row>
    <row r="650" spans="2:27">
      <c r="B650" s="49" t="s">
        <v>5142</v>
      </c>
      <c r="C650" s="41" t="s">
        <v>5475</v>
      </c>
      <c r="D650" s="50"/>
      <c r="E650" s="60"/>
      <c r="F650" s="60"/>
      <c r="G650" s="60"/>
      <c r="H650" s="60"/>
      <c r="I650" s="60"/>
      <c r="J650" s="60"/>
      <c r="K650" s="60"/>
      <c r="L650" s="60"/>
    </row>
    <row r="651" spans="2:27">
      <c r="B651" s="49" t="s">
        <v>5143</v>
      </c>
      <c r="C651" s="41" t="s">
        <v>5476</v>
      </c>
      <c r="D651" s="50"/>
      <c r="E651" s="60"/>
      <c r="F651" s="60"/>
      <c r="G651" s="60"/>
      <c r="H651" s="60"/>
      <c r="I651" s="60"/>
      <c r="J651" s="60"/>
      <c r="K651" s="60"/>
      <c r="L651" s="60"/>
    </row>
    <row r="652" spans="2:27">
      <c r="B652" s="49" t="s">
        <v>5431</v>
      </c>
      <c r="C652" s="41" t="s">
        <v>5477</v>
      </c>
      <c r="D652" s="50"/>
      <c r="E652" s="60"/>
      <c r="F652" s="60"/>
      <c r="G652" s="60"/>
      <c r="H652" s="60"/>
      <c r="I652" s="60"/>
      <c r="J652" s="60"/>
      <c r="K652" s="60"/>
      <c r="L652" s="60"/>
    </row>
    <row r="653" spans="2:27">
      <c r="B653" s="49" t="s">
        <v>5144</v>
      </c>
      <c r="C653" s="41" t="s">
        <v>5478</v>
      </c>
      <c r="D653" s="50"/>
      <c r="E653" s="60"/>
      <c r="F653" s="60"/>
      <c r="G653" s="60"/>
      <c r="H653" s="60"/>
      <c r="I653" s="60"/>
      <c r="J653" s="60"/>
      <c r="K653" s="60"/>
      <c r="L653" s="60"/>
    </row>
    <row r="655" spans="2:27">
      <c r="Z655" s="13" t="str">
        <f>Show!$B$158&amp;Show!$B$158&amp;"SR.27.01.01.21 Rows {"&amp;COLUMN($C$1)&amp;"}"</f>
        <v>!!SR.27.01.01.21 Rows {3}</v>
      </c>
      <c r="AA655" s="13" t="str">
        <f>Show!$B$158&amp;Show!$B$158&amp;"SR.27.01.01.21 Columns {"&amp;COLUMN($L$1)&amp;"}"</f>
        <v>!!SR.27.01.01.21 Columns {12}</v>
      </c>
    </row>
    <row r="657" spans="2:27" ht="18.75">
      <c r="B657" s="88" t="s">
        <v>5596</v>
      </c>
      <c r="C657" s="87"/>
      <c r="D657" s="87"/>
      <c r="E657" s="87"/>
      <c r="F657" s="87"/>
      <c r="G657" s="87"/>
      <c r="H657" s="87"/>
      <c r="I657" s="87"/>
      <c r="J657" s="87"/>
      <c r="K657" s="87"/>
      <c r="L657" s="87"/>
    </row>
    <row r="659" spans="2:27">
      <c r="B659" t="s">
        <v>3110</v>
      </c>
      <c r="Z659" s="13" t="str">
        <f>Show!$B$158&amp;"SR.27.01.01.22 Table label {"&amp;COLUMN($C$1)&amp;"}"</f>
        <v>!SR.27.01.01.22 Table label {3}</v>
      </c>
      <c r="AA659" s="13" t="str">
        <f>Show!$B$158&amp;"SR.27.01.01.22 Table value {"&amp;COLUMN($D$1)&amp;"}"</f>
        <v>!SR.27.01.01.22 Table value {4}</v>
      </c>
    </row>
    <row r="660" spans="2:27">
      <c r="B660" t="s">
        <v>3111</v>
      </c>
    </row>
    <row r="661" spans="2:27">
      <c r="B661" s="40" t="s">
        <v>3788</v>
      </c>
      <c r="C661" s="53" t="s">
        <v>3115</v>
      </c>
      <c r="D661" s="51"/>
    </row>
    <row r="662" spans="2:27">
      <c r="B662" s="40" t="s">
        <v>3114</v>
      </c>
      <c r="C662" s="53" t="s">
        <v>3323</v>
      </c>
      <c r="D662" s="50"/>
    </row>
    <row r="663" spans="2:27">
      <c r="Z663" s="13" t="str">
        <f>Show!$B$158&amp;Show!$B$158&amp;"SR.27.01.01.22 Table label {"&amp;COLUMN($C$1)&amp;"}"</f>
        <v>!!SR.27.01.01.22 Table label {3}</v>
      </c>
      <c r="AA663" s="13" t="str">
        <f>Show!$B$158&amp;Show!$B$158&amp;"SR.27.01.01.22 Table value {"&amp;COLUMN($D$1)&amp;"}"</f>
        <v>!!SR.27.01.01.22 Table value {4}</v>
      </c>
    </row>
    <row r="665" spans="2:27">
      <c r="D665" s="92" t="s">
        <v>2877</v>
      </c>
      <c r="E665" s="93"/>
      <c r="F665" s="93"/>
      <c r="G665" s="93"/>
      <c r="H665" s="93"/>
      <c r="I665" s="93"/>
      <c r="J665" s="93"/>
      <c r="K665" s="93"/>
      <c r="L665" s="93"/>
      <c r="M665" s="93"/>
      <c r="N665" s="93"/>
      <c r="O665" s="93"/>
      <c r="P665" s="94"/>
    </row>
    <row r="666" spans="2:27">
      <c r="D666" s="95"/>
      <c r="E666" s="96"/>
      <c r="F666" s="96"/>
      <c r="G666" s="96"/>
      <c r="H666" s="96"/>
      <c r="I666" s="96"/>
      <c r="J666" s="96"/>
      <c r="K666" s="96"/>
      <c r="L666" s="96"/>
      <c r="M666" s="96"/>
      <c r="N666" s="96"/>
      <c r="O666" s="96"/>
      <c r="P666" s="97"/>
    </row>
    <row r="667" spans="2:27">
      <c r="D667" s="98" t="s">
        <v>4916</v>
      </c>
      <c r="E667" s="99"/>
      <c r="F667" s="98" t="s">
        <v>4913</v>
      </c>
      <c r="G667" s="100"/>
      <c r="H667" s="100"/>
      <c r="I667" s="100"/>
      <c r="J667" s="100"/>
      <c r="K667" s="100"/>
      <c r="L667" s="99"/>
      <c r="M667" s="89" t="s">
        <v>5119</v>
      </c>
      <c r="N667" s="89" t="s">
        <v>5120</v>
      </c>
      <c r="O667" s="89" t="s">
        <v>5121</v>
      </c>
      <c r="P667" s="89" t="s">
        <v>5122</v>
      </c>
    </row>
    <row r="668" spans="2:27" ht="60">
      <c r="D668" s="55" t="s">
        <v>5480</v>
      </c>
      <c r="E668" s="55" t="s">
        <v>5481</v>
      </c>
      <c r="F668" s="55" t="s">
        <v>5482</v>
      </c>
      <c r="G668" s="55" t="s">
        <v>5483</v>
      </c>
      <c r="H668" s="55" t="s">
        <v>5484</v>
      </c>
      <c r="I668" s="55" t="s">
        <v>5485</v>
      </c>
      <c r="J668" s="55" t="s">
        <v>5486</v>
      </c>
      <c r="K668" s="55" t="s">
        <v>5487</v>
      </c>
      <c r="L668" s="55" t="s">
        <v>5488</v>
      </c>
      <c r="M668" s="91"/>
      <c r="N668" s="91"/>
      <c r="O668" s="91"/>
      <c r="P668" s="91"/>
    </row>
    <row r="669" spans="2:27">
      <c r="D669" s="45" t="s">
        <v>4049</v>
      </c>
      <c r="E669" s="45" t="s">
        <v>4050</v>
      </c>
      <c r="F669" s="45" t="s">
        <v>4051</v>
      </c>
      <c r="G669" s="45" t="s">
        <v>4052</v>
      </c>
      <c r="H669" s="45" t="s">
        <v>4053</v>
      </c>
      <c r="I669" s="45" t="s">
        <v>4054</v>
      </c>
      <c r="J669" s="45" t="s">
        <v>4055</v>
      </c>
      <c r="K669" s="45" t="s">
        <v>4056</v>
      </c>
      <c r="L669" s="45" t="s">
        <v>4057</v>
      </c>
      <c r="M669" s="45" t="s">
        <v>4058</v>
      </c>
      <c r="N669" s="45" t="s">
        <v>4059</v>
      </c>
      <c r="O669" s="45" t="s">
        <v>4060</v>
      </c>
      <c r="P669" s="45" t="s">
        <v>4061</v>
      </c>
      <c r="Z669" s="13" t="str">
        <f>Show!$B$158&amp;"SR.27.01.01.22 Rows {"&amp;COLUMN($C$1)&amp;"}"&amp;"@ForceFilingCode:true"</f>
        <v>!SR.27.01.01.22 Rows {3}@ForceFilingCode:true</v>
      </c>
      <c r="AA669" s="13" t="str">
        <f>Show!$B$158&amp;"SR.27.01.01.22 Columns {"&amp;COLUMN($D$1)&amp;"}"</f>
        <v>!SR.27.01.01.22 Columns {4}</v>
      </c>
    </row>
    <row r="670" spans="2:27">
      <c r="B670" s="43" t="s">
        <v>2880</v>
      </c>
      <c r="C670" s="44" t="s">
        <v>2878</v>
      </c>
      <c r="D670" s="58"/>
      <c r="E670" s="67"/>
      <c r="F670" s="67"/>
      <c r="G670" s="67"/>
      <c r="H670" s="67"/>
      <c r="I670" s="67"/>
      <c r="J670" s="67"/>
      <c r="K670" s="67"/>
      <c r="L670" s="67"/>
      <c r="M670" s="67"/>
      <c r="N670" s="67"/>
      <c r="O670" s="67"/>
      <c r="P670" s="59"/>
    </row>
    <row r="671" spans="2:27">
      <c r="B671" s="47" t="s">
        <v>5489</v>
      </c>
      <c r="C671" s="44" t="s">
        <v>2878</v>
      </c>
      <c r="D671" s="58"/>
      <c r="E671" s="67"/>
      <c r="F671" s="66"/>
      <c r="G671" s="66"/>
      <c r="H671" s="66"/>
      <c r="I671" s="66"/>
      <c r="J671" s="66"/>
      <c r="K671" s="66"/>
      <c r="L671" s="66"/>
      <c r="M671" s="66"/>
      <c r="N671" s="67"/>
      <c r="O671" s="67"/>
      <c r="P671" s="59"/>
    </row>
    <row r="672" spans="2:27">
      <c r="B672" s="49" t="s">
        <v>5124</v>
      </c>
      <c r="C672" s="44" t="s">
        <v>5490</v>
      </c>
      <c r="D672" s="58"/>
      <c r="E672" s="48"/>
      <c r="F672" s="50"/>
      <c r="G672" s="60"/>
      <c r="H672" s="70"/>
      <c r="I672" s="60"/>
      <c r="J672" s="70"/>
      <c r="K672" s="60"/>
      <c r="L672" s="70"/>
      <c r="M672" s="64"/>
      <c r="N672" s="58"/>
      <c r="O672" s="58"/>
      <c r="P672" s="48"/>
    </row>
    <row r="673" spans="2:16">
      <c r="B673" s="49" t="s">
        <v>5125</v>
      </c>
      <c r="C673" s="44" t="s">
        <v>5491</v>
      </c>
      <c r="D673" s="58"/>
      <c r="E673" s="48"/>
      <c r="F673" s="50"/>
      <c r="G673" s="60"/>
      <c r="H673" s="70"/>
      <c r="I673" s="60"/>
      <c r="J673" s="70"/>
      <c r="K673" s="60"/>
      <c r="L673" s="70"/>
      <c r="M673" s="64"/>
      <c r="N673" s="58"/>
      <c r="O673" s="58"/>
      <c r="P673" s="48"/>
    </row>
    <row r="674" spans="2:16">
      <c r="B674" s="49" t="s">
        <v>5174</v>
      </c>
      <c r="C674" s="44" t="s">
        <v>5492</v>
      </c>
      <c r="D674" s="58"/>
      <c r="E674" s="48"/>
      <c r="F674" s="50"/>
      <c r="G674" s="60"/>
      <c r="H674" s="70"/>
      <c r="I674" s="60"/>
      <c r="J674" s="70"/>
      <c r="K674" s="60"/>
      <c r="L674" s="70"/>
      <c r="M674" s="64"/>
      <c r="N674" s="58"/>
      <c r="O674" s="58"/>
      <c r="P674" s="48"/>
    </row>
    <row r="675" spans="2:16">
      <c r="B675" s="49" t="s">
        <v>5175</v>
      </c>
      <c r="C675" s="44" t="s">
        <v>5493</v>
      </c>
      <c r="D675" s="58"/>
      <c r="E675" s="48"/>
      <c r="F675" s="50"/>
      <c r="G675" s="60"/>
      <c r="H675" s="70"/>
      <c r="I675" s="60"/>
      <c r="J675" s="70"/>
      <c r="K675" s="60"/>
      <c r="L675" s="70"/>
      <c r="M675" s="64"/>
      <c r="N675" s="58"/>
      <c r="O675" s="58"/>
      <c r="P675" s="48"/>
    </row>
    <row r="676" spans="2:16">
      <c r="B676" s="49" t="s">
        <v>5176</v>
      </c>
      <c r="C676" s="44" t="s">
        <v>5494</v>
      </c>
      <c r="D676" s="58"/>
      <c r="E676" s="48"/>
      <c r="F676" s="50"/>
      <c r="G676" s="60"/>
      <c r="H676" s="70"/>
      <c r="I676" s="60"/>
      <c r="J676" s="70"/>
      <c r="K676" s="60"/>
      <c r="L676" s="70"/>
      <c r="M676" s="64"/>
      <c r="N676" s="58"/>
      <c r="O676" s="58"/>
      <c r="P676" s="48"/>
    </row>
    <row r="677" spans="2:16">
      <c r="B677" s="49" t="s">
        <v>5126</v>
      </c>
      <c r="C677" s="44" t="s">
        <v>5495</v>
      </c>
      <c r="D677" s="58"/>
      <c r="E677" s="48"/>
      <c r="F677" s="50"/>
      <c r="G677" s="60"/>
      <c r="H677" s="70"/>
      <c r="I677" s="60"/>
      <c r="J677" s="70"/>
      <c r="K677" s="60"/>
      <c r="L677" s="70"/>
      <c r="M677" s="64"/>
      <c r="N677" s="58"/>
      <c r="O677" s="58"/>
      <c r="P677" s="48"/>
    </row>
    <row r="678" spans="2:16">
      <c r="B678" s="49" t="s">
        <v>5128</v>
      </c>
      <c r="C678" s="44" t="s">
        <v>5496</v>
      </c>
      <c r="D678" s="58"/>
      <c r="E678" s="48"/>
      <c r="F678" s="50"/>
      <c r="G678" s="60"/>
      <c r="H678" s="70"/>
      <c r="I678" s="60"/>
      <c r="J678" s="70"/>
      <c r="K678" s="60"/>
      <c r="L678" s="70"/>
      <c r="M678" s="64"/>
      <c r="N678" s="58"/>
      <c r="O678" s="58"/>
      <c r="P678" s="48"/>
    </row>
    <row r="679" spans="2:16">
      <c r="B679" s="49" t="s">
        <v>5405</v>
      </c>
      <c r="C679" s="44" t="s">
        <v>5497</v>
      </c>
      <c r="D679" s="58"/>
      <c r="E679" s="48"/>
      <c r="F679" s="50"/>
      <c r="G679" s="60"/>
      <c r="H679" s="70"/>
      <c r="I679" s="60"/>
      <c r="J679" s="70"/>
      <c r="K679" s="60"/>
      <c r="L679" s="70"/>
      <c r="M679" s="64"/>
      <c r="N679" s="58"/>
      <c r="O679" s="58"/>
      <c r="P679" s="48"/>
    </row>
    <row r="680" spans="2:16">
      <c r="B680" s="49" t="s">
        <v>5140</v>
      </c>
      <c r="C680" s="44" t="s">
        <v>5498</v>
      </c>
      <c r="D680" s="58"/>
      <c r="E680" s="48"/>
      <c r="F680" s="50"/>
      <c r="G680" s="60"/>
      <c r="H680" s="70"/>
      <c r="I680" s="60"/>
      <c r="J680" s="70"/>
      <c r="K680" s="60"/>
      <c r="L680" s="70"/>
      <c r="M680" s="64"/>
      <c r="N680" s="58"/>
      <c r="O680" s="58"/>
      <c r="P680" s="48"/>
    </row>
    <row r="681" spans="2:16">
      <c r="B681" s="49" t="s">
        <v>5455</v>
      </c>
      <c r="C681" s="44" t="s">
        <v>5499</v>
      </c>
      <c r="D681" s="58"/>
      <c r="E681" s="48"/>
      <c r="F681" s="50"/>
      <c r="G681" s="60"/>
      <c r="H681" s="70"/>
      <c r="I681" s="60"/>
      <c r="J681" s="70"/>
      <c r="K681" s="60"/>
      <c r="L681" s="70"/>
      <c r="M681" s="64"/>
      <c r="N681" s="58"/>
      <c r="O681" s="58"/>
      <c r="P681" s="48"/>
    </row>
    <row r="682" spans="2:16">
      <c r="B682" s="49" t="s">
        <v>5177</v>
      </c>
      <c r="C682" s="44" t="s">
        <v>5500</v>
      </c>
      <c r="D682" s="58"/>
      <c r="E682" s="48"/>
      <c r="F682" s="50"/>
      <c r="G682" s="60"/>
      <c r="H682" s="70"/>
      <c r="I682" s="60"/>
      <c r="J682" s="70"/>
      <c r="K682" s="60"/>
      <c r="L682" s="70"/>
      <c r="M682" s="64"/>
      <c r="N682" s="58"/>
      <c r="O682" s="58"/>
      <c r="P682" s="48"/>
    </row>
    <row r="683" spans="2:16">
      <c r="B683" s="49" t="s">
        <v>5132</v>
      </c>
      <c r="C683" s="44" t="s">
        <v>5501</v>
      </c>
      <c r="D683" s="58"/>
      <c r="E683" s="48"/>
      <c r="F683" s="50"/>
      <c r="G683" s="60"/>
      <c r="H683" s="70"/>
      <c r="I683" s="60"/>
      <c r="J683" s="70"/>
      <c r="K683" s="60"/>
      <c r="L683" s="70"/>
      <c r="M683" s="64"/>
      <c r="N683" s="58"/>
      <c r="O683" s="58"/>
      <c r="P683" s="48"/>
    </row>
    <row r="684" spans="2:16">
      <c r="B684" s="49" t="s">
        <v>5133</v>
      </c>
      <c r="C684" s="44" t="s">
        <v>5502</v>
      </c>
      <c r="D684" s="58"/>
      <c r="E684" s="48"/>
      <c r="F684" s="50"/>
      <c r="G684" s="60"/>
      <c r="H684" s="70"/>
      <c r="I684" s="60"/>
      <c r="J684" s="70"/>
      <c r="K684" s="60"/>
      <c r="L684" s="70"/>
      <c r="M684" s="64"/>
      <c r="N684" s="58"/>
      <c r="O684" s="58"/>
      <c r="P684" s="48"/>
    </row>
    <row r="685" spans="2:16">
      <c r="B685" s="49" t="s">
        <v>5134</v>
      </c>
      <c r="C685" s="44" t="s">
        <v>5503</v>
      </c>
      <c r="D685" s="58"/>
      <c r="E685" s="48"/>
      <c r="F685" s="50"/>
      <c r="G685" s="60"/>
      <c r="H685" s="70"/>
      <c r="I685" s="60"/>
      <c r="J685" s="70"/>
      <c r="K685" s="60"/>
      <c r="L685" s="70"/>
      <c r="M685" s="64"/>
      <c r="N685" s="58"/>
      <c r="O685" s="58"/>
      <c r="P685" s="48"/>
    </row>
    <row r="686" spans="2:16">
      <c r="B686" s="49" t="s">
        <v>5135</v>
      </c>
      <c r="C686" s="44" t="s">
        <v>5504</v>
      </c>
      <c r="D686" s="58"/>
      <c r="E686" s="48"/>
      <c r="F686" s="50"/>
      <c r="G686" s="60"/>
      <c r="H686" s="70"/>
      <c r="I686" s="60"/>
      <c r="J686" s="70"/>
      <c r="K686" s="60"/>
      <c r="L686" s="70"/>
      <c r="M686" s="64"/>
      <c r="N686" s="58"/>
      <c r="O686" s="58"/>
      <c r="P686" s="48"/>
    </row>
    <row r="687" spans="2:16">
      <c r="B687" s="49" t="s">
        <v>5462</v>
      </c>
      <c r="C687" s="44" t="s">
        <v>5505</v>
      </c>
      <c r="D687" s="58"/>
      <c r="E687" s="48"/>
      <c r="F687" s="50"/>
      <c r="G687" s="60"/>
      <c r="H687" s="70"/>
      <c r="I687" s="60"/>
      <c r="J687" s="70"/>
      <c r="K687" s="60"/>
      <c r="L687" s="70"/>
      <c r="M687" s="64"/>
      <c r="N687" s="58"/>
      <c r="O687" s="58"/>
      <c r="P687" s="48"/>
    </row>
    <row r="688" spans="2:16">
      <c r="B688" s="49" t="s">
        <v>5416</v>
      </c>
      <c r="C688" s="44" t="s">
        <v>5506</v>
      </c>
      <c r="D688" s="58"/>
      <c r="E688" s="48"/>
      <c r="F688" s="50"/>
      <c r="G688" s="60"/>
      <c r="H688" s="70"/>
      <c r="I688" s="60"/>
      <c r="J688" s="70"/>
      <c r="K688" s="60"/>
      <c r="L688" s="70"/>
      <c r="M688" s="64"/>
      <c r="N688" s="58"/>
      <c r="O688" s="58"/>
      <c r="P688" s="48"/>
    </row>
    <row r="689" spans="2:27">
      <c r="B689" s="49" t="s">
        <v>5418</v>
      </c>
      <c r="C689" s="44" t="s">
        <v>5507</v>
      </c>
      <c r="D689" s="58"/>
      <c r="E689" s="48"/>
      <c r="F689" s="50"/>
      <c r="G689" s="60"/>
      <c r="H689" s="70"/>
      <c r="I689" s="60"/>
      <c r="J689" s="70"/>
      <c r="K689" s="60"/>
      <c r="L689" s="70"/>
      <c r="M689" s="64"/>
      <c r="N689" s="58"/>
      <c r="O689" s="58"/>
      <c r="P689" s="48"/>
    </row>
    <row r="690" spans="2:27">
      <c r="B690" s="49" t="s">
        <v>5136</v>
      </c>
      <c r="C690" s="44" t="s">
        <v>5508</v>
      </c>
      <c r="D690" s="58"/>
      <c r="E690" s="48"/>
      <c r="F690" s="50"/>
      <c r="G690" s="60"/>
      <c r="H690" s="70"/>
      <c r="I690" s="60"/>
      <c r="J690" s="70"/>
      <c r="K690" s="60"/>
      <c r="L690" s="70"/>
      <c r="M690" s="64"/>
      <c r="N690" s="58"/>
      <c r="O690" s="58"/>
      <c r="P690" s="48"/>
    </row>
    <row r="691" spans="2:27">
      <c r="B691" s="49" t="s">
        <v>5179</v>
      </c>
      <c r="C691" s="44" t="s">
        <v>5509</v>
      </c>
      <c r="D691" s="58"/>
      <c r="E691" s="48"/>
      <c r="F691" s="50"/>
      <c r="G691" s="60"/>
      <c r="H691" s="70"/>
      <c r="I691" s="60"/>
      <c r="J691" s="70"/>
      <c r="K691" s="60"/>
      <c r="L691" s="70"/>
      <c r="M691" s="64"/>
      <c r="N691" s="58"/>
      <c r="O691" s="58"/>
      <c r="P691" s="48"/>
    </row>
    <row r="692" spans="2:27">
      <c r="B692" s="49" t="s">
        <v>5137</v>
      </c>
      <c r="C692" s="44" t="s">
        <v>5510</v>
      </c>
      <c r="D692" s="58"/>
      <c r="E692" s="48"/>
      <c r="F692" s="50"/>
      <c r="G692" s="60"/>
      <c r="H692" s="70"/>
      <c r="I692" s="60"/>
      <c r="J692" s="70"/>
      <c r="K692" s="60"/>
      <c r="L692" s="70"/>
      <c r="M692" s="64"/>
      <c r="N692" s="58"/>
      <c r="O692" s="58"/>
      <c r="P692" s="48"/>
    </row>
    <row r="693" spans="2:27">
      <c r="B693" s="49" t="s">
        <v>5138</v>
      </c>
      <c r="C693" s="44" t="s">
        <v>5511</v>
      </c>
      <c r="D693" s="58"/>
      <c r="E693" s="48"/>
      <c r="F693" s="50"/>
      <c r="G693" s="60"/>
      <c r="H693" s="70"/>
      <c r="I693" s="60"/>
      <c r="J693" s="70"/>
      <c r="K693" s="60"/>
      <c r="L693" s="70"/>
      <c r="M693" s="64"/>
      <c r="N693" s="58"/>
      <c r="O693" s="58"/>
      <c r="P693" s="48"/>
    </row>
    <row r="694" spans="2:27">
      <c r="B694" s="49" t="s">
        <v>5139</v>
      </c>
      <c r="C694" s="44" t="s">
        <v>5512</v>
      </c>
      <c r="D694" s="58"/>
      <c r="E694" s="48"/>
      <c r="F694" s="50"/>
      <c r="G694" s="60"/>
      <c r="H694" s="70"/>
      <c r="I694" s="60"/>
      <c r="J694" s="70"/>
      <c r="K694" s="60"/>
      <c r="L694" s="70"/>
      <c r="M694" s="64"/>
      <c r="N694" s="58"/>
      <c r="O694" s="58"/>
      <c r="P694" s="48"/>
    </row>
    <row r="695" spans="2:27">
      <c r="B695" s="49" t="s">
        <v>5180</v>
      </c>
      <c r="C695" s="44" t="s">
        <v>5513</v>
      </c>
      <c r="D695" s="58"/>
      <c r="E695" s="48"/>
      <c r="F695" s="50"/>
      <c r="G695" s="60"/>
      <c r="H695" s="70"/>
      <c r="I695" s="60"/>
      <c r="J695" s="70"/>
      <c r="K695" s="60"/>
      <c r="L695" s="70"/>
      <c r="M695" s="64"/>
      <c r="N695" s="58"/>
      <c r="O695" s="58"/>
      <c r="P695" s="48"/>
    </row>
    <row r="696" spans="2:27">
      <c r="B696" s="49" t="s">
        <v>5181</v>
      </c>
      <c r="C696" s="44" t="s">
        <v>5514</v>
      </c>
      <c r="D696" s="58"/>
      <c r="E696" s="48"/>
      <c r="F696" s="50"/>
      <c r="G696" s="60"/>
      <c r="H696" s="70"/>
      <c r="I696" s="60"/>
      <c r="J696" s="70"/>
      <c r="K696" s="60"/>
      <c r="L696" s="70"/>
      <c r="M696" s="64"/>
      <c r="N696" s="58"/>
      <c r="O696" s="58"/>
      <c r="P696" s="48"/>
    </row>
    <row r="697" spans="2:27">
      <c r="B697" s="49" t="s">
        <v>5182</v>
      </c>
      <c r="C697" s="44" t="s">
        <v>5515</v>
      </c>
      <c r="D697" s="58"/>
      <c r="E697" s="48"/>
      <c r="F697" s="50"/>
      <c r="G697" s="60"/>
      <c r="H697" s="70"/>
      <c r="I697" s="60"/>
      <c r="J697" s="70"/>
      <c r="K697" s="60"/>
      <c r="L697" s="70"/>
      <c r="M697" s="64"/>
      <c r="N697" s="58"/>
      <c r="O697" s="58"/>
      <c r="P697" s="48"/>
    </row>
    <row r="698" spans="2:27">
      <c r="B698" s="49" t="s">
        <v>5129</v>
      </c>
      <c r="C698" s="44" t="s">
        <v>5516</v>
      </c>
      <c r="D698" s="58"/>
      <c r="E698" s="48"/>
      <c r="F698" s="50"/>
      <c r="G698" s="60"/>
      <c r="H698" s="70"/>
      <c r="I698" s="60"/>
      <c r="J698" s="70"/>
      <c r="K698" s="60"/>
      <c r="L698" s="70"/>
      <c r="M698" s="64"/>
      <c r="N698" s="58"/>
      <c r="O698" s="58"/>
      <c r="P698" s="48"/>
    </row>
    <row r="699" spans="2:27">
      <c r="B699" s="49" t="s">
        <v>5142</v>
      </c>
      <c r="C699" s="44" t="s">
        <v>5517</v>
      </c>
      <c r="D699" s="58"/>
      <c r="E699" s="48"/>
      <c r="F699" s="50"/>
      <c r="G699" s="60"/>
      <c r="H699" s="70"/>
      <c r="I699" s="60"/>
      <c r="J699" s="70"/>
      <c r="K699" s="60"/>
      <c r="L699" s="70"/>
      <c r="M699" s="64"/>
      <c r="N699" s="58"/>
      <c r="O699" s="58"/>
      <c r="P699" s="48"/>
    </row>
    <row r="700" spans="2:27">
      <c r="B700" s="49" t="s">
        <v>5143</v>
      </c>
      <c r="C700" s="44" t="s">
        <v>5518</v>
      </c>
      <c r="D700" s="58"/>
      <c r="E700" s="48"/>
      <c r="F700" s="50"/>
      <c r="G700" s="60"/>
      <c r="H700" s="70"/>
      <c r="I700" s="60"/>
      <c r="J700" s="70"/>
      <c r="K700" s="60"/>
      <c r="L700" s="70"/>
      <c r="M700" s="64"/>
      <c r="N700" s="58"/>
      <c r="O700" s="58"/>
      <c r="P700" s="48"/>
    </row>
    <row r="701" spans="2:27">
      <c r="B701" s="49" t="s">
        <v>5431</v>
      </c>
      <c r="C701" s="44" t="s">
        <v>5519</v>
      </c>
      <c r="D701" s="58"/>
      <c r="E701" s="48"/>
      <c r="F701" s="50"/>
      <c r="G701" s="60"/>
      <c r="H701" s="70"/>
      <c r="I701" s="60"/>
      <c r="J701" s="70"/>
      <c r="K701" s="60"/>
      <c r="L701" s="70"/>
      <c r="M701" s="64"/>
      <c r="N701" s="58"/>
      <c r="O701" s="58"/>
      <c r="P701" s="48"/>
    </row>
    <row r="702" spans="2:27">
      <c r="B702" s="49" t="s">
        <v>5144</v>
      </c>
      <c r="C702" s="44" t="s">
        <v>5520</v>
      </c>
      <c r="D702" s="56"/>
      <c r="E702" s="46"/>
      <c r="F702" s="50"/>
      <c r="G702" s="60"/>
      <c r="H702" s="70"/>
      <c r="I702" s="60"/>
      <c r="J702" s="70"/>
      <c r="K702" s="60"/>
      <c r="L702" s="70"/>
      <c r="M702" s="64"/>
      <c r="N702" s="56"/>
      <c r="O702" s="56"/>
      <c r="P702" s="46"/>
    </row>
    <row r="704" spans="2:27">
      <c r="Z704" s="13" t="str">
        <f>Show!$B$158&amp;Show!$B$158&amp;"SR.27.01.01.22 Rows {"&amp;COLUMN($C$1)&amp;"}"</f>
        <v>!!SR.27.01.01.22 Rows {3}</v>
      </c>
      <c r="AA704" s="13" t="str">
        <f>Show!$B$158&amp;Show!$B$158&amp;"SR.27.01.01.22 Columns {"&amp;COLUMN($P$1)&amp;"}"</f>
        <v>!!SR.27.01.01.22 Columns {16}</v>
      </c>
    </row>
    <row r="706" spans="2:27" ht="18.75">
      <c r="B706" s="88" t="s">
        <v>5597</v>
      </c>
      <c r="C706" s="87"/>
      <c r="D706" s="87"/>
      <c r="E706" s="87"/>
      <c r="F706" s="87"/>
      <c r="G706" s="87"/>
      <c r="H706" s="87"/>
      <c r="I706" s="87"/>
      <c r="J706" s="87"/>
      <c r="K706" s="87"/>
      <c r="L706" s="87"/>
    </row>
    <row r="708" spans="2:27">
      <c r="B708" t="s">
        <v>3110</v>
      </c>
      <c r="Z708" s="13" t="str">
        <f>Show!$B$158&amp;"SR.27.01.01.23 Table label {"&amp;COLUMN($C$1)&amp;"}"</f>
        <v>!SR.27.01.01.23 Table label {3}</v>
      </c>
      <c r="AA708" s="13" t="str">
        <f>Show!$B$158&amp;"SR.27.01.01.23 Table value {"&amp;COLUMN($D$1)&amp;"}"</f>
        <v>!SR.27.01.01.23 Table value {4}</v>
      </c>
    </row>
    <row r="709" spans="2:27">
      <c r="B709" t="s">
        <v>3111</v>
      </c>
    </row>
    <row r="710" spans="2:27">
      <c r="B710" s="40" t="s">
        <v>3788</v>
      </c>
      <c r="C710" s="53" t="s">
        <v>3115</v>
      </c>
      <c r="D710" s="51"/>
    </row>
    <row r="711" spans="2:27">
      <c r="B711" s="40" t="s">
        <v>3114</v>
      </c>
      <c r="C711" s="53" t="s">
        <v>3323</v>
      </c>
      <c r="D711" s="50"/>
    </row>
    <row r="712" spans="2:27">
      <c r="Z712" s="13" t="str">
        <f>Show!$B$158&amp;Show!$B$158&amp;"SR.27.01.01.23 Table label {"&amp;COLUMN($C$1)&amp;"}"</f>
        <v>!!SR.27.01.01.23 Table label {3}</v>
      </c>
      <c r="AA712" s="13" t="str">
        <f>Show!$B$158&amp;Show!$B$158&amp;"SR.27.01.01.23 Table value {"&amp;COLUMN($D$1)&amp;"}"</f>
        <v>!!SR.27.01.01.23 Table value {4}</v>
      </c>
    </row>
    <row r="714" spans="2:27">
      <c r="D714" s="89" t="s">
        <v>5522</v>
      </c>
      <c r="E714" s="92" t="s">
        <v>2877</v>
      </c>
      <c r="F714" s="93"/>
      <c r="G714" s="93"/>
      <c r="H714" s="93"/>
      <c r="I714" s="93"/>
      <c r="J714" s="93"/>
      <c r="K714" s="93"/>
      <c r="L714" s="93"/>
      <c r="M714" s="94"/>
    </row>
    <row r="715" spans="2:27">
      <c r="D715" s="90"/>
      <c r="E715" s="95"/>
      <c r="F715" s="96"/>
      <c r="G715" s="96"/>
      <c r="H715" s="96"/>
      <c r="I715" s="96"/>
      <c r="J715" s="96"/>
      <c r="K715" s="96"/>
      <c r="L715" s="96"/>
      <c r="M715" s="97"/>
    </row>
    <row r="716" spans="2:27">
      <c r="D716" s="90"/>
      <c r="E716" s="89" t="s">
        <v>5441</v>
      </c>
      <c r="F716" s="98" t="s">
        <v>5442</v>
      </c>
      <c r="G716" s="100"/>
      <c r="H716" s="100"/>
      <c r="I716" s="99"/>
      <c r="J716" s="89" t="s">
        <v>5119</v>
      </c>
      <c r="K716" s="89" t="s">
        <v>5120</v>
      </c>
      <c r="L716" s="89" t="s">
        <v>5121</v>
      </c>
      <c r="M716" s="89" t="s">
        <v>5122</v>
      </c>
    </row>
    <row r="717" spans="2:27" ht="30">
      <c r="D717" s="91"/>
      <c r="E717" s="91"/>
      <c r="F717" s="55" t="s">
        <v>5388</v>
      </c>
      <c r="G717" s="55" t="s">
        <v>5393</v>
      </c>
      <c r="H717" s="55" t="s">
        <v>5395</v>
      </c>
      <c r="I717" s="55" t="s">
        <v>5396</v>
      </c>
      <c r="J717" s="91"/>
      <c r="K717" s="91"/>
      <c r="L717" s="91"/>
      <c r="M717" s="91"/>
    </row>
    <row r="718" spans="2:27">
      <c r="D718" s="45" t="s">
        <v>4048</v>
      </c>
      <c r="E718" s="45" t="s">
        <v>4038</v>
      </c>
      <c r="F718" s="45" t="s">
        <v>4039</v>
      </c>
      <c r="G718" s="45" t="s">
        <v>4040</v>
      </c>
      <c r="H718" s="45" t="s">
        <v>4042</v>
      </c>
      <c r="I718" s="45" t="s">
        <v>4044</v>
      </c>
      <c r="J718" s="45" t="s">
        <v>4045</v>
      </c>
      <c r="K718" s="45" t="s">
        <v>5443</v>
      </c>
      <c r="L718" s="45" t="s">
        <v>5444</v>
      </c>
      <c r="M718" s="45" t="s">
        <v>4047</v>
      </c>
      <c r="Z718" s="13" t="str">
        <f>Show!$B$158&amp;"SR.27.01.01.23 Rows {"&amp;COLUMN($C$1)&amp;"}"&amp;"@ForceFilingCode:true"</f>
        <v>!SR.27.01.01.23 Rows {3}@ForceFilingCode:true</v>
      </c>
      <c r="AA718" s="13" t="str">
        <f>Show!$B$158&amp;"SR.27.01.01.23 Columns {"&amp;COLUMN($D$1)&amp;"}"</f>
        <v>!SR.27.01.01.23 Columns {4}</v>
      </c>
    </row>
    <row r="719" spans="2:27">
      <c r="B719" s="43" t="s">
        <v>2880</v>
      </c>
      <c r="C719" s="44" t="s">
        <v>2878</v>
      </c>
      <c r="D719" s="58"/>
      <c r="E719" s="67"/>
      <c r="F719" s="67"/>
      <c r="G719" s="67"/>
      <c r="H719" s="67"/>
      <c r="I719" s="67"/>
      <c r="J719" s="67"/>
      <c r="K719" s="67"/>
      <c r="L719" s="67"/>
      <c r="M719" s="59"/>
    </row>
    <row r="720" spans="2:27">
      <c r="B720" s="47" t="s">
        <v>5445</v>
      </c>
      <c r="C720" s="44" t="s">
        <v>2878</v>
      </c>
      <c r="D720" s="56"/>
      <c r="E720" s="66"/>
      <c r="F720" s="66"/>
      <c r="G720" s="66"/>
      <c r="H720" s="66"/>
      <c r="I720" s="66"/>
      <c r="J720" s="66"/>
      <c r="K720" s="66"/>
      <c r="L720" s="66"/>
      <c r="M720" s="57"/>
    </row>
    <row r="721" spans="2:27">
      <c r="B721" s="49" t="s">
        <v>5523</v>
      </c>
      <c r="C721" s="41" t="s">
        <v>5524</v>
      </c>
      <c r="D721" s="51"/>
      <c r="E721" s="50"/>
      <c r="F721" s="60"/>
      <c r="G721" s="60"/>
      <c r="H721" s="60"/>
      <c r="I721" s="60"/>
      <c r="J721" s="60"/>
      <c r="K721" s="60"/>
      <c r="L721" s="60"/>
      <c r="M721" s="60"/>
    </row>
    <row r="723" spans="2:27">
      <c r="Z723" s="13" t="str">
        <f>Show!$B$158&amp;Show!$B$158&amp;"SR.27.01.01.23 Rows {"&amp;COLUMN($C$1)&amp;"}"</f>
        <v>!!SR.27.01.01.23 Rows {3}</v>
      </c>
      <c r="AA723" s="13" t="str">
        <f>Show!$B$158&amp;Show!$B$158&amp;"SR.27.01.01.23 Columns {"&amp;COLUMN($M$1)&amp;"}"</f>
        <v>!!SR.27.01.01.23 Columns {13}</v>
      </c>
    </row>
    <row r="725" spans="2:27" ht="18.75">
      <c r="B725" s="88" t="s">
        <v>5598</v>
      </c>
      <c r="C725" s="87"/>
      <c r="D725" s="87"/>
      <c r="E725" s="87"/>
      <c r="F725" s="87"/>
      <c r="G725" s="87"/>
      <c r="H725" s="87"/>
      <c r="I725" s="87"/>
      <c r="J725" s="87"/>
      <c r="K725" s="87"/>
      <c r="L725" s="87"/>
    </row>
    <row r="727" spans="2:27">
      <c r="B727" t="s">
        <v>3110</v>
      </c>
      <c r="Z727" s="13" t="str">
        <f>Show!$B$158&amp;"SR.27.01.01.24 Table label {"&amp;COLUMN($C$1)&amp;"}"</f>
        <v>!SR.27.01.01.24 Table label {3}</v>
      </c>
      <c r="AA727" s="13" t="str">
        <f>Show!$B$158&amp;"SR.27.01.01.24 Table value {"&amp;COLUMN($D$1)&amp;"}"</f>
        <v>!SR.27.01.01.24 Table value {4}</v>
      </c>
    </row>
    <row r="728" spans="2:27">
      <c r="B728" t="s">
        <v>3111</v>
      </c>
    </row>
    <row r="729" spans="2:27">
      <c r="B729" s="40" t="s">
        <v>3788</v>
      </c>
      <c r="C729" s="53" t="s">
        <v>3115</v>
      </c>
      <c r="D729" s="51"/>
    </row>
    <row r="730" spans="2:27">
      <c r="B730" s="40" t="s">
        <v>3114</v>
      </c>
      <c r="C730" s="53" t="s">
        <v>3323</v>
      </c>
      <c r="D730" s="50"/>
    </row>
    <row r="731" spans="2:27">
      <c r="Z731" s="13" t="str">
        <f>Show!$B$158&amp;Show!$B$158&amp;"SR.27.01.01.24 Table label {"&amp;COLUMN($C$1)&amp;"}"</f>
        <v>!!SR.27.01.01.24 Table label {3}</v>
      </c>
      <c r="AA731" s="13" t="str">
        <f>Show!$B$158&amp;Show!$B$158&amp;"SR.27.01.01.24 Table value {"&amp;COLUMN($D$1)&amp;"}"</f>
        <v>!!SR.27.01.01.24 Table value {4}</v>
      </c>
    </row>
    <row r="733" spans="2:27">
      <c r="D733" s="89" t="s">
        <v>5522</v>
      </c>
      <c r="E733" s="92" t="s">
        <v>2877</v>
      </c>
      <c r="F733" s="93"/>
      <c r="G733" s="93"/>
      <c r="H733" s="93"/>
      <c r="I733" s="93"/>
      <c r="J733" s="93"/>
      <c r="K733" s="93"/>
      <c r="L733" s="93"/>
      <c r="M733" s="93"/>
      <c r="N733" s="93"/>
      <c r="O733" s="93"/>
      <c r="P733" s="93"/>
      <c r="Q733" s="94"/>
    </row>
    <row r="734" spans="2:27">
      <c r="D734" s="90"/>
      <c r="E734" s="95"/>
      <c r="F734" s="96"/>
      <c r="G734" s="96"/>
      <c r="H734" s="96"/>
      <c r="I734" s="96"/>
      <c r="J734" s="96"/>
      <c r="K734" s="96"/>
      <c r="L734" s="96"/>
      <c r="M734" s="96"/>
      <c r="N734" s="96"/>
      <c r="O734" s="96"/>
      <c r="P734" s="96"/>
      <c r="Q734" s="97"/>
    </row>
    <row r="735" spans="2:27">
      <c r="D735" s="90"/>
      <c r="E735" s="98" t="s">
        <v>4916</v>
      </c>
      <c r="F735" s="99"/>
      <c r="G735" s="98" t="s">
        <v>4913</v>
      </c>
      <c r="H735" s="100"/>
      <c r="I735" s="100"/>
      <c r="J735" s="100"/>
      <c r="K735" s="100"/>
      <c r="L735" s="100"/>
      <c r="M735" s="99"/>
      <c r="N735" s="89" t="s">
        <v>5119</v>
      </c>
      <c r="O735" s="89" t="s">
        <v>5120</v>
      </c>
      <c r="P735" s="89" t="s">
        <v>5121</v>
      </c>
      <c r="Q735" s="89" t="s">
        <v>5122</v>
      </c>
    </row>
    <row r="736" spans="2:27" ht="60">
      <c r="D736" s="91"/>
      <c r="E736" s="55" t="s">
        <v>5480</v>
      </c>
      <c r="F736" s="55" t="s">
        <v>5481</v>
      </c>
      <c r="G736" s="55" t="s">
        <v>5482</v>
      </c>
      <c r="H736" s="55" t="s">
        <v>5483</v>
      </c>
      <c r="I736" s="55" t="s">
        <v>5484</v>
      </c>
      <c r="J736" s="55" t="s">
        <v>5485</v>
      </c>
      <c r="K736" s="55" t="s">
        <v>5486</v>
      </c>
      <c r="L736" s="55" t="s">
        <v>5487</v>
      </c>
      <c r="M736" s="55" t="s">
        <v>5488</v>
      </c>
      <c r="N736" s="91"/>
      <c r="O736" s="91"/>
      <c r="P736" s="91"/>
      <c r="Q736" s="91"/>
    </row>
    <row r="737" spans="2:27">
      <c r="D737" s="45" t="s">
        <v>4062</v>
      </c>
      <c r="E737" s="45" t="s">
        <v>4049</v>
      </c>
      <c r="F737" s="45" t="s">
        <v>4050</v>
      </c>
      <c r="G737" s="45" t="s">
        <v>4051</v>
      </c>
      <c r="H737" s="45" t="s">
        <v>4052</v>
      </c>
      <c r="I737" s="45" t="s">
        <v>4053</v>
      </c>
      <c r="J737" s="45" t="s">
        <v>4054</v>
      </c>
      <c r="K737" s="45" t="s">
        <v>4055</v>
      </c>
      <c r="L737" s="45" t="s">
        <v>4056</v>
      </c>
      <c r="M737" s="45" t="s">
        <v>4057</v>
      </c>
      <c r="N737" s="45" t="s">
        <v>4058</v>
      </c>
      <c r="O737" s="45" t="s">
        <v>4059</v>
      </c>
      <c r="P737" s="45" t="s">
        <v>4060</v>
      </c>
      <c r="Q737" s="45" t="s">
        <v>4061</v>
      </c>
      <c r="Z737" s="13" t="str">
        <f>Show!$B$158&amp;"SR.27.01.01.24 Rows {"&amp;COLUMN($C$1)&amp;"}"&amp;"@ForceFilingCode:true"</f>
        <v>!SR.27.01.01.24 Rows {3}@ForceFilingCode:true</v>
      </c>
      <c r="AA737" s="13" t="str">
        <f>Show!$B$158&amp;"SR.27.01.01.24 Columns {"&amp;COLUMN($D$1)&amp;"}"</f>
        <v>!SR.27.01.01.24 Columns {4}</v>
      </c>
    </row>
    <row r="738" spans="2:27">
      <c r="B738" s="43" t="s">
        <v>2880</v>
      </c>
      <c r="C738" s="44" t="s">
        <v>2878</v>
      </c>
      <c r="D738" s="58"/>
      <c r="E738" s="67"/>
      <c r="F738" s="67"/>
      <c r="G738" s="67"/>
      <c r="H738" s="67"/>
      <c r="I738" s="67"/>
      <c r="J738" s="67"/>
      <c r="K738" s="67"/>
      <c r="L738" s="67"/>
      <c r="M738" s="67"/>
      <c r="N738" s="67"/>
      <c r="O738" s="67"/>
      <c r="P738" s="67"/>
      <c r="Q738" s="59"/>
    </row>
    <row r="739" spans="2:27">
      <c r="B739" s="47" t="s">
        <v>5489</v>
      </c>
      <c r="C739" s="44" t="s">
        <v>2878</v>
      </c>
      <c r="D739" s="56"/>
      <c r="E739" s="67"/>
      <c r="F739" s="67"/>
      <c r="G739" s="66"/>
      <c r="H739" s="66"/>
      <c r="I739" s="66"/>
      <c r="J739" s="66"/>
      <c r="K739" s="66"/>
      <c r="L739" s="66"/>
      <c r="M739" s="66"/>
      <c r="N739" s="66"/>
      <c r="O739" s="67"/>
      <c r="P739" s="67"/>
      <c r="Q739" s="59"/>
    </row>
    <row r="740" spans="2:27">
      <c r="B740" s="49" t="s">
        <v>5526</v>
      </c>
      <c r="C740" s="41" t="s">
        <v>5527</v>
      </c>
      <c r="D740" s="51"/>
      <c r="E740" s="56"/>
      <c r="F740" s="46"/>
      <c r="G740" s="50"/>
      <c r="H740" s="60"/>
      <c r="I740" s="70"/>
      <c r="J740" s="60"/>
      <c r="K740" s="70"/>
      <c r="L740" s="60"/>
      <c r="M740" s="70"/>
      <c r="N740" s="64"/>
      <c r="O740" s="56"/>
      <c r="P740" s="56"/>
      <c r="Q740" s="46"/>
    </row>
    <row r="742" spans="2:27">
      <c r="Z742" s="13" t="str">
        <f>Show!$B$158&amp;Show!$B$158&amp;"SR.27.01.01.24 Rows {"&amp;COLUMN($C$1)&amp;"}"</f>
        <v>!!SR.27.01.01.24 Rows {3}</v>
      </c>
      <c r="AA742" s="13" t="str">
        <f>Show!$B$158&amp;Show!$B$158&amp;"SR.27.01.01.24 Columns {"&amp;COLUMN($Q$1)&amp;"}"</f>
        <v>!!SR.27.01.01.24 Columns {17}</v>
      </c>
    </row>
    <row r="744" spans="2:27" ht="18.75">
      <c r="B744" s="88" t="s">
        <v>5599</v>
      </c>
      <c r="C744" s="87"/>
      <c r="D744" s="87"/>
      <c r="E744" s="87"/>
      <c r="F744" s="87"/>
      <c r="G744" s="87"/>
      <c r="H744" s="87"/>
      <c r="I744" s="87"/>
      <c r="J744" s="87"/>
      <c r="K744" s="87"/>
      <c r="L744" s="87"/>
    </row>
    <row r="746" spans="2:27">
      <c r="B746" t="s">
        <v>3110</v>
      </c>
      <c r="Z746" s="13" t="str">
        <f>Show!$B$158&amp;"SR.27.01.01.25 Table label {"&amp;COLUMN($C$1)&amp;"}"</f>
        <v>!SR.27.01.01.25 Table label {3}</v>
      </c>
      <c r="AA746" s="13" t="str">
        <f>Show!$B$158&amp;"SR.27.01.01.25 Table value {"&amp;COLUMN($D$1)&amp;"}"</f>
        <v>!SR.27.01.01.25 Table value {4}</v>
      </c>
    </row>
    <row r="747" spans="2:27">
      <c r="B747" t="s">
        <v>3111</v>
      </c>
    </row>
    <row r="748" spans="2:27">
      <c r="B748" s="40" t="s">
        <v>3788</v>
      </c>
      <c r="C748" s="53" t="s">
        <v>3115</v>
      </c>
      <c r="D748" s="51"/>
    </row>
    <row r="749" spans="2:27">
      <c r="B749" s="40" t="s">
        <v>3114</v>
      </c>
      <c r="C749" s="53" t="s">
        <v>3323</v>
      </c>
      <c r="D749" s="50"/>
    </row>
    <row r="750" spans="2:27">
      <c r="Z750" s="13" t="str">
        <f>Show!$B$158&amp;Show!$B$158&amp;"SR.27.01.01.25 Table label {"&amp;COLUMN($C$1)&amp;"}"</f>
        <v>!!SR.27.01.01.25 Table label {3}</v>
      </c>
      <c r="AA750" s="13" t="str">
        <f>Show!$B$158&amp;Show!$B$158&amp;"SR.27.01.01.25 Table value {"&amp;COLUMN($D$1)&amp;"}"</f>
        <v>!!SR.27.01.01.25 Table value {4}</v>
      </c>
    </row>
    <row r="752" spans="2:27">
      <c r="D752" s="92" t="s">
        <v>2877</v>
      </c>
      <c r="E752" s="93"/>
      <c r="F752" s="93"/>
      <c r="G752" s="93"/>
      <c r="H752" s="93"/>
      <c r="I752" s="93"/>
      <c r="J752" s="93"/>
      <c r="K752" s="93"/>
      <c r="L752" s="93"/>
      <c r="M752" s="93"/>
      <c r="N752" s="93"/>
      <c r="O752" s="93"/>
      <c r="P752" s="94"/>
    </row>
    <row r="753" spans="2:27">
      <c r="D753" s="95"/>
      <c r="E753" s="96"/>
      <c r="F753" s="96"/>
      <c r="G753" s="96"/>
      <c r="H753" s="96"/>
      <c r="I753" s="96"/>
      <c r="J753" s="96"/>
      <c r="K753" s="96"/>
      <c r="L753" s="96"/>
      <c r="M753" s="96"/>
      <c r="N753" s="96"/>
      <c r="O753" s="96"/>
      <c r="P753" s="97"/>
    </row>
    <row r="754" spans="2:27">
      <c r="D754" s="98" t="s">
        <v>4916</v>
      </c>
      <c r="E754" s="99"/>
      <c r="F754" s="98" t="s">
        <v>4913</v>
      </c>
      <c r="G754" s="100"/>
      <c r="H754" s="100"/>
      <c r="I754" s="100"/>
      <c r="J754" s="100"/>
      <c r="K754" s="100"/>
      <c r="L754" s="99"/>
      <c r="M754" s="89" t="s">
        <v>5119</v>
      </c>
      <c r="N754" s="89" t="s">
        <v>5120</v>
      </c>
      <c r="O754" s="89" t="s">
        <v>5121</v>
      </c>
      <c r="P754" s="89" t="s">
        <v>5122</v>
      </c>
    </row>
    <row r="755" spans="2:27" ht="60">
      <c r="D755" s="55" t="s">
        <v>5480</v>
      </c>
      <c r="E755" s="55" t="s">
        <v>5481</v>
      </c>
      <c r="F755" s="55" t="s">
        <v>5482</v>
      </c>
      <c r="G755" s="55" t="s">
        <v>5483</v>
      </c>
      <c r="H755" s="55" t="s">
        <v>5484</v>
      </c>
      <c r="I755" s="55" t="s">
        <v>5485</v>
      </c>
      <c r="J755" s="55" t="s">
        <v>5486</v>
      </c>
      <c r="K755" s="55" t="s">
        <v>5487</v>
      </c>
      <c r="L755" s="55" t="s">
        <v>5488</v>
      </c>
      <c r="M755" s="91"/>
      <c r="N755" s="91"/>
      <c r="O755" s="91"/>
      <c r="P755" s="91"/>
    </row>
    <row r="756" spans="2:27">
      <c r="D756" s="45" t="s">
        <v>4049</v>
      </c>
      <c r="E756" s="45" t="s">
        <v>4050</v>
      </c>
      <c r="F756" s="45" t="s">
        <v>4051</v>
      </c>
      <c r="G756" s="45" t="s">
        <v>4052</v>
      </c>
      <c r="H756" s="45" t="s">
        <v>4053</v>
      </c>
      <c r="I756" s="45" t="s">
        <v>4054</v>
      </c>
      <c r="J756" s="45" t="s">
        <v>4055</v>
      </c>
      <c r="K756" s="45" t="s">
        <v>4056</v>
      </c>
      <c r="L756" s="45" t="s">
        <v>4057</v>
      </c>
      <c r="M756" s="45" t="s">
        <v>4058</v>
      </c>
      <c r="N756" s="45" t="s">
        <v>4059</v>
      </c>
      <c r="O756" s="45" t="s">
        <v>4060</v>
      </c>
      <c r="P756" s="45" t="s">
        <v>4061</v>
      </c>
      <c r="Z756" s="13" t="str">
        <f>Show!$B$158&amp;"SR.27.01.01.25 Rows {"&amp;COLUMN($C$1)&amp;"}"&amp;"@ForceFilingCode:true"</f>
        <v>!SR.27.01.01.25 Rows {3}@ForceFilingCode:true</v>
      </c>
      <c r="AA756" s="13" t="str">
        <f>Show!$B$158&amp;"SR.27.01.01.25 Columns {"&amp;COLUMN($D$1)&amp;"}"</f>
        <v>!SR.27.01.01.25 Columns {4}</v>
      </c>
    </row>
    <row r="757" spans="2:27">
      <c r="B757" s="43" t="s">
        <v>2880</v>
      </c>
      <c r="C757" s="44" t="s">
        <v>2878</v>
      </c>
      <c r="D757" s="58"/>
      <c r="E757" s="67"/>
      <c r="F757" s="67"/>
      <c r="G757" s="67"/>
      <c r="H757" s="67"/>
      <c r="I757" s="67"/>
      <c r="J757" s="67"/>
      <c r="K757" s="67"/>
      <c r="L757" s="67"/>
      <c r="M757" s="67"/>
      <c r="N757" s="67"/>
      <c r="O757" s="67"/>
      <c r="P757" s="59"/>
    </row>
    <row r="758" spans="2:27">
      <c r="B758" s="47" t="s">
        <v>5489</v>
      </c>
      <c r="C758" s="44" t="s">
        <v>2878</v>
      </c>
      <c r="D758" s="56"/>
      <c r="E758" s="66"/>
      <c r="F758" s="67"/>
      <c r="G758" s="67"/>
      <c r="H758" s="67"/>
      <c r="I758" s="67"/>
      <c r="J758" s="67"/>
      <c r="K758" s="67"/>
      <c r="L758" s="67"/>
      <c r="M758" s="66"/>
      <c r="N758" s="66"/>
      <c r="O758" s="66"/>
      <c r="P758" s="57"/>
    </row>
    <row r="759" spans="2:27">
      <c r="B759" s="49" t="s">
        <v>5529</v>
      </c>
      <c r="C759" s="41" t="s">
        <v>5530</v>
      </c>
      <c r="D759" s="50"/>
      <c r="E759" s="64"/>
      <c r="F759" s="56"/>
      <c r="G759" s="56"/>
      <c r="H759" s="56"/>
      <c r="I759" s="56"/>
      <c r="J759" s="56"/>
      <c r="K759" s="56"/>
      <c r="L759" s="46"/>
      <c r="M759" s="60"/>
      <c r="N759" s="60"/>
      <c r="O759" s="60"/>
      <c r="P759" s="60"/>
    </row>
    <row r="761" spans="2:27">
      <c r="Z761" s="13" t="str">
        <f>Show!$B$158&amp;Show!$B$158&amp;"SR.27.01.01.25 Rows {"&amp;COLUMN($C$1)&amp;"}"</f>
        <v>!!SR.27.01.01.25 Rows {3}</v>
      </c>
      <c r="AA761" s="13" t="str">
        <f>Show!$B$158&amp;Show!$B$158&amp;"SR.27.01.01.25 Columns {"&amp;COLUMN($P$1)&amp;"}"</f>
        <v>!!SR.27.01.01.25 Columns {16}</v>
      </c>
    </row>
    <row r="763" spans="2:27" ht="18.75">
      <c r="B763" s="88" t="s">
        <v>5600</v>
      </c>
      <c r="C763" s="87"/>
      <c r="D763" s="87"/>
      <c r="E763" s="87"/>
      <c r="F763" s="87"/>
      <c r="G763" s="87"/>
      <c r="H763" s="87"/>
      <c r="I763" s="87"/>
      <c r="J763" s="87"/>
      <c r="K763" s="87"/>
      <c r="L763" s="87"/>
    </row>
    <row r="765" spans="2:27">
      <c r="B765" t="s">
        <v>3110</v>
      </c>
      <c r="Z765" s="13" t="str">
        <f>Show!$B$158&amp;"SR.27.01.01.26 Table label {"&amp;COLUMN($C$1)&amp;"}"</f>
        <v>!SR.27.01.01.26 Table label {3}</v>
      </c>
      <c r="AA765" s="13" t="str">
        <f>Show!$B$158&amp;"SR.27.01.01.26 Table value {"&amp;COLUMN($D$1)&amp;"}"</f>
        <v>!SR.27.01.01.26 Table value {4}</v>
      </c>
    </row>
    <row r="766" spans="2:27">
      <c r="B766" t="s">
        <v>3111</v>
      </c>
    </row>
    <row r="767" spans="2:27">
      <c r="B767" s="40" t="s">
        <v>3788</v>
      </c>
      <c r="C767" s="53" t="s">
        <v>3115</v>
      </c>
      <c r="D767" s="51"/>
    </row>
    <row r="768" spans="2:27">
      <c r="B768" s="40" t="s">
        <v>3114</v>
      </c>
      <c r="C768" s="53" t="s">
        <v>3323</v>
      </c>
      <c r="D768" s="50"/>
    </row>
    <row r="769" spans="2:27">
      <c r="Z769" s="13" t="str">
        <f>Show!$B$158&amp;Show!$B$158&amp;"SR.27.01.01.26 Table label {"&amp;COLUMN($C$1)&amp;"}"</f>
        <v>!!SR.27.01.01.26 Table label {3}</v>
      </c>
      <c r="AA769" s="13" t="str">
        <f>Show!$B$158&amp;Show!$B$158&amp;"SR.27.01.01.26 Table value {"&amp;COLUMN($D$1)&amp;"}"</f>
        <v>!!SR.27.01.01.26 Table value {4}</v>
      </c>
    </row>
    <row r="771" spans="2:27">
      <c r="D771" s="92" t="s">
        <v>2877</v>
      </c>
      <c r="E771" s="93"/>
      <c r="F771" s="93"/>
      <c r="G771" s="93"/>
      <c r="H771" s="93"/>
      <c r="I771" s="93"/>
      <c r="J771" s="93"/>
      <c r="K771" s="93"/>
      <c r="L771" s="94"/>
    </row>
    <row r="772" spans="2:27">
      <c r="D772" s="95"/>
      <c r="E772" s="96"/>
      <c r="F772" s="96"/>
      <c r="G772" s="96"/>
      <c r="H772" s="96"/>
      <c r="I772" s="96"/>
      <c r="J772" s="96"/>
      <c r="K772" s="96"/>
      <c r="L772" s="97"/>
    </row>
    <row r="773" spans="2:27">
      <c r="D773" s="89" t="s">
        <v>5441</v>
      </c>
      <c r="E773" s="98" t="s">
        <v>5442</v>
      </c>
      <c r="F773" s="100"/>
      <c r="G773" s="100"/>
      <c r="H773" s="99"/>
      <c r="I773" s="89" t="s">
        <v>5119</v>
      </c>
      <c r="J773" s="89" t="s">
        <v>5120</v>
      </c>
      <c r="K773" s="89" t="s">
        <v>5121</v>
      </c>
      <c r="L773" s="89" t="s">
        <v>5122</v>
      </c>
    </row>
    <row r="774" spans="2:27" ht="30">
      <c r="D774" s="91"/>
      <c r="E774" s="55" t="s">
        <v>5388</v>
      </c>
      <c r="F774" s="55" t="s">
        <v>5393</v>
      </c>
      <c r="G774" s="55" t="s">
        <v>5395</v>
      </c>
      <c r="H774" s="55" t="s">
        <v>5396</v>
      </c>
      <c r="I774" s="91"/>
      <c r="J774" s="91"/>
      <c r="K774" s="91"/>
      <c r="L774" s="91"/>
    </row>
    <row r="775" spans="2:27">
      <c r="D775" s="45" t="s">
        <v>4038</v>
      </c>
      <c r="E775" s="45" t="s">
        <v>4039</v>
      </c>
      <c r="F775" s="45" t="s">
        <v>4040</v>
      </c>
      <c r="G775" s="45" t="s">
        <v>4042</v>
      </c>
      <c r="H775" s="45" t="s">
        <v>4044</v>
      </c>
      <c r="I775" s="45" t="s">
        <v>4045</v>
      </c>
      <c r="J775" s="45" t="s">
        <v>5443</v>
      </c>
      <c r="K775" s="45" t="s">
        <v>5444</v>
      </c>
      <c r="L775" s="45" t="s">
        <v>4047</v>
      </c>
      <c r="Z775" s="13" t="str">
        <f>Show!$B$158&amp;"SR.27.01.01.26 Rows {"&amp;COLUMN($C$1)&amp;"}"&amp;"@ForceFilingCode:true"</f>
        <v>!SR.27.01.01.26 Rows {3}@ForceFilingCode:true</v>
      </c>
      <c r="AA775" s="13" t="str">
        <f>Show!$B$158&amp;"SR.27.01.01.26 Columns {"&amp;COLUMN($D$1)&amp;"}"</f>
        <v>!SR.27.01.01.26 Columns {4}</v>
      </c>
    </row>
    <row r="776" spans="2:27">
      <c r="B776" s="43" t="s">
        <v>2880</v>
      </c>
      <c r="C776" s="44" t="s">
        <v>2878</v>
      </c>
      <c r="D776" s="58"/>
      <c r="E776" s="67"/>
      <c r="F776" s="67"/>
      <c r="G776" s="67"/>
      <c r="H776" s="67"/>
      <c r="I776" s="67"/>
      <c r="J776" s="67"/>
      <c r="K776" s="67"/>
      <c r="L776" s="59"/>
    </row>
    <row r="777" spans="2:27">
      <c r="B777" s="47" t="s">
        <v>5445</v>
      </c>
      <c r="C777" s="44" t="s">
        <v>2878</v>
      </c>
      <c r="D777" s="58"/>
      <c r="E777" s="67"/>
      <c r="F777" s="67"/>
      <c r="G777" s="67"/>
      <c r="H777" s="67"/>
      <c r="I777" s="66"/>
      <c r="J777" s="66"/>
      <c r="K777" s="66"/>
      <c r="L777" s="57"/>
    </row>
    <row r="778" spans="2:27">
      <c r="B778" s="49" t="s">
        <v>5532</v>
      </c>
      <c r="C778" s="44" t="s">
        <v>5533</v>
      </c>
      <c r="D778" s="58"/>
      <c r="E778" s="58"/>
      <c r="F778" s="58"/>
      <c r="G778" s="58"/>
      <c r="H778" s="48"/>
      <c r="I778" s="60"/>
      <c r="J778" s="63"/>
      <c r="K778" s="63"/>
      <c r="L778" s="60"/>
    </row>
    <row r="779" spans="2:27">
      <c r="B779" s="49" t="s">
        <v>5436</v>
      </c>
      <c r="C779" s="44" t="s">
        <v>5534</v>
      </c>
      <c r="D779" s="58"/>
      <c r="E779" s="58"/>
      <c r="F779" s="58"/>
      <c r="G779" s="58"/>
      <c r="H779" s="48"/>
      <c r="I779" s="64"/>
      <c r="J779" s="58"/>
      <c r="K779" s="48"/>
      <c r="L779" s="60"/>
    </row>
    <row r="780" spans="2:27">
      <c r="B780" s="49" t="s">
        <v>5535</v>
      </c>
      <c r="C780" s="44" t="s">
        <v>5536</v>
      </c>
      <c r="D780" s="56"/>
      <c r="E780" s="56"/>
      <c r="F780" s="56"/>
      <c r="G780" s="56"/>
      <c r="H780" s="46"/>
      <c r="I780" s="64"/>
      <c r="J780" s="56"/>
      <c r="K780" s="46"/>
      <c r="L780" s="60"/>
    </row>
    <row r="782" spans="2:27">
      <c r="Z782" s="13" t="str">
        <f>Show!$B$158&amp;Show!$B$158&amp;"SR.27.01.01.26 Rows {"&amp;COLUMN($C$1)&amp;"}"</f>
        <v>!!SR.27.01.01.26 Rows {3}</v>
      </c>
      <c r="AA782" s="13" t="str">
        <f>Show!$B$158&amp;Show!$B$158&amp;"SR.27.01.01.26 Columns {"&amp;COLUMN($L$1)&amp;"}"</f>
        <v>!!SR.27.01.01.26 Columns {12}</v>
      </c>
    </row>
    <row r="784" spans="2:27" ht="18.75">
      <c r="B784" s="88" t="s">
        <v>5601</v>
      </c>
      <c r="C784" s="87"/>
      <c r="D784" s="87"/>
      <c r="E784" s="87"/>
      <c r="F784" s="87"/>
      <c r="G784" s="87"/>
      <c r="H784" s="87"/>
      <c r="I784" s="87"/>
      <c r="J784" s="87"/>
      <c r="K784" s="87"/>
      <c r="L784" s="87"/>
    </row>
    <row r="786" spans="2:27">
      <c r="B786" t="s">
        <v>3110</v>
      </c>
      <c r="Z786" s="13" t="str">
        <f>Show!$B$158&amp;"SR.27.01.01.27 Table label {"&amp;COLUMN($C$1)&amp;"}"</f>
        <v>!SR.27.01.01.27 Table label {3}</v>
      </c>
      <c r="AA786" s="13" t="str">
        <f>Show!$B$158&amp;"SR.27.01.01.27 Table value {"&amp;COLUMN($D$1)&amp;"}"</f>
        <v>!SR.27.01.01.27 Table value {4}</v>
      </c>
    </row>
    <row r="787" spans="2:27">
      <c r="B787" t="s">
        <v>3111</v>
      </c>
    </row>
    <row r="788" spans="2:27">
      <c r="B788" s="40" t="s">
        <v>3788</v>
      </c>
      <c r="C788" s="53" t="s">
        <v>3115</v>
      </c>
      <c r="D788" s="51"/>
    </row>
    <row r="789" spans="2:27">
      <c r="B789" s="40" t="s">
        <v>3114</v>
      </c>
      <c r="C789" s="53" t="s">
        <v>3323</v>
      </c>
      <c r="D789" s="50"/>
    </row>
    <row r="790" spans="2:27">
      <c r="Z790" s="13" t="str">
        <f>Show!$B$158&amp;Show!$B$158&amp;"SR.27.01.01.27 Table label {"&amp;COLUMN($C$1)&amp;"}"</f>
        <v>!!SR.27.01.01.27 Table label {3}</v>
      </c>
      <c r="AA790" s="13" t="str">
        <f>Show!$B$158&amp;Show!$B$158&amp;"SR.27.01.01.27 Table value {"&amp;COLUMN($D$1)&amp;"}"</f>
        <v>!!SR.27.01.01.27 Table value {4}</v>
      </c>
    </row>
    <row r="792" spans="2:27">
      <c r="D792" s="89" t="s">
        <v>2877</v>
      </c>
    </row>
    <row r="793" spans="2:27">
      <c r="D793" s="91"/>
    </row>
    <row r="794" spans="2:27" ht="30">
      <c r="D794" s="55" t="s">
        <v>2574</v>
      </c>
    </row>
    <row r="795" spans="2:27">
      <c r="D795" s="45" t="s">
        <v>3581</v>
      </c>
      <c r="Z795" s="13" t="str">
        <f>Show!$B$158&amp;"SR.27.01.01.27 Rows {"&amp;COLUMN($C$1)&amp;"}"&amp;"@ForceFilingCode:true"</f>
        <v>!SR.27.01.01.27 Rows {3}@ForceFilingCode:true</v>
      </c>
      <c r="AA795" s="13" t="str">
        <f>Show!$B$158&amp;"SR.27.01.01.27 Columns {"&amp;COLUMN($D$1)&amp;"}"</f>
        <v>!SR.27.01.01.27 Columns {4}</v>
      </c>
    </row>
    <row r="796" spans="2:27">
      <c r="B796" s="43" t="s">
        <v>2880</v>
      </c>
      <c r="C796" s="44" t="s">
        <v>2878</v>
      </c>
      <c r="D796" s="46"/>
    </row>
    <row r="797" spans="2:27">
      <c r="B797" s="47" t="s">
        <v>5538</v>
      </c>
      <c r="C797" s="41" t="s">
        <v>4601</v>
      </c>
      <c r="D797" s="51"/>
    </row>
    <row r="798" spans="2:27">
      <c r="B798" s="47" t="s">
        <v>5539</v>
      </c>
      <c r="C798" s="41" t="s">
        <v>5540</v>
      </c>
      <c r="D798" s="51"/>
    </row>
    <row r="800" spans="2:27">
      <c r="Z800" s="13" t="str">
        <f>Show!$B$158&amp;Show!$B$158&amp;"SR.27.01.01.27 Rows {"&amp;COLUMN($C$1)&amp;"}"</f>
        <v>!!SR.27.01.01.27 Rows {3}</v>
      </c>
      <c r="AA800" s="13" t="str">
        <f>Show!$B$158&amp;Show!$B$158&amp;"SR.27.01.01.27 Columns {"&amp;COLUMN($D$1)&amp;"}"</f>
        <v>!!SR.27.01.01.27 Columns {4}</v>
      </c>
    </row>
    <row r="802" spans="2:27" ht="18.75">
      <c r="B802" s="88" t="s">
        <v>5602</v>
      </c>
      <c r="C802" s="87"/>
      <c r="D802" s="87"/>
      <c r="E802" s="87"/>
      <c r="F802" s="87"/>
      <c r="G802" s="87"/>
      <c r="H802" s="87"/>
      <c r="I802" s="87"/>
      <c r="J802" s="87"/>
      <c r="K802" s="87"/>
      <c r="L802" s="87"/>
    </row>
    <row r="804" spans="2:27">
      <c r="B804" t="s">
        <v>3110</v>
      </c>
      <c r="Z804" s="13" t="str">
        <f>Show!$B$158&amp;"SR.27.01.01.28 Table label {"&amp;COLUMN($C$1)&amp;"}"</f>
        <v>!SR.27.01.01.28 Table label {3}</v>
      </c>
      <c r="AA804" s="13" t="str">
        <f>Show!$B$158&amp;"SR.27.01.01.28 Table value {"&amp;COLUMN($D$1)&amp;"}"</f>
        <v>!SR.27.01.01.28 Table value {4}</v>
      </c>
    </row>
    <row r="805" spans="2:27">
      <c r="B805" t="s">
        <v>3111</v>
      </c>
    </row>
    <row r="806" spans="2:27">
      <c r="B806" s="40" t="s">
        <v>3788</v>
      </c>
      <c r="C806" s="53" t="s">
        <v>3115</v>
      </c>
      <c r="D806" s="51"/>
    </row>
    <row r="807" spans="2:27">
      <c r="B807" s="40" t="s">
        <v>3114</v>
      </c>
      <c r="C807" s="53" t="s">
        <v>3323</v>
      </c>
      <c r="D807" s="50"/>
    </row>
    <row r="808" spans="2:27">
      <c r="Z808" s="13" t="str">
        <f>Show!$B$158&amp;Show!$B$158&amp;"SR.27.01.01.28 Table label {"&amp;COLUMN($C$1)&amp;"}"</f>
        <v>!!SR.27.01.01.28 Table label {3}</v>
      </c>
      <c r="AA808" s="13" t="str">
        <f>Show!$B$158&amp;Show!$B$158&amp;"SR.27.01.01.28 Table value {"&amp;COLUMN($D$1)&amp;"}"</f>
        <v>!!SR.27.01.01.28 Table value {4}</v>
      </c>
    </row>
    <row r="810" spans="2:27">
      <c r="D810" s="89" t="s">
        <v>2877</v>
      </c>
    </row>
    <row r="811" spans="2:27">
      <c r="D811" s="91"/>
    </row>
    <row r="812" spans="2:27">
      <c r="D812" s="55" t="s">
        <v>5542</v>
      </c>
    </row>
    <row r="813" spans="2:27">
      <c r="D813" s="45" t="s">
        <v>5543</v>
      </c>
      <c r="Z813" s="13" t="str">
        <f>Show!$B$158&amp;"SR.27.01.01.28 Rows {"&amp;COLUMN($C$1)&amp;"}"&amp;"@ForceFilingCode:true"</f>
        <v>!SR.27.01.01.28 Rows {3}@ForceFilingCode:true</v>
      </c>
      <c r="AA813" s="13" t="str">
        <f>Show!$B$158&amp;"SR.27.01.01.28 Columns {"&amp;COLUMN($D$1)&amp;"}"</f>
        <v>!SR.27.01.01.28 Columns {4}</v>
      </c>
    </row>
    <row r="814" spans="2:27">
      <c r="B814" s="43" t="s">
        <v>2880</v>
      </c>
      <c r="C814" s="44" t="s">
        <v>2878</v>
      </c>
      <c r="D814" s="46"/>
    </row>
    <row r="815" spans="2:27">
      <c r="B815" s="47" t="s">
        <v>5544</v>
      </c>
      <c r="C815" s="41" t="s">
        <v>5545</v>
      </c>
      <c r="D815" s="50"/>
    </row>
    <row r="817" spans="26:27">
      <c r="Z817" s="13" t="str">
        <f>Show!$B$158&amp;Show!$B$158&amp;"SR.27.01.01.28 Rows {"&amp;COLUMN($C$1)&amp;"}"</f>
        <v>!!SR.27.01.01.28 Rows {3}</v>
      </c>
      <c r="AA817" s="13" t="str">
        <f>Show!$B$158&amp;Show!$B$158&amp;"SR.27.01.01.28 Columns {"&amp;COLUMN($D$1)&amp;"}"</f>
        <v>!!SR.27.01.01.28 Columns {4}</v>
      </c>
    </row>
  </sheetData>
  <sheetProtection sheet="1" objects="1" scenarios="1"/>
  <mergeCells count="160">
    <mergeCell ref="B2:O2"/>
    <mergeCell ref="B5:L5"/>
    <mergeCell ref="D13:F14"/>
    <mergeCell ref="D15:D17"/>
    <mergeCell ref="E15:E17"/>
    <mergeCell ref="F15:F17"/>
    <mergeCell ref="B51:L51"/>
    <mergeCell ref="D59:L60"/>
    <mergeCell ref="D61:D62"/>
    <mergeCell ref="E61:E62"/>
    <mergeCell ref="F61:F62"/>
    <mergeCell ref="G61:G62"/>
    <mergeCell ref="H61:H62"/>
    <mergeCell ref="I61:I62"/>
    <mergeCell ref="J61:J62"/>
    <mergeCell ref="K61:K62"/>
    <mergeCell ref="L61:L62"/>
    <mergeCell ref="B115:L115"/>
    <mergeCell ref="D123:K124"/>
    <mergeCell ref="D125:D126"/>
    <mergeCell ref="E125:E126"/>
    <mergeCell ref="F125:F126"/>
    <mergeCell ref="G125:G126"/>
    <mergeCell ref="H125:H126"/>
    <mergeCell ref="I125:I126"/>
    <mergeCell ref="J125:J126"/>
    <mergeCell ref="K125:K126"/>
    <mergeCell ref="B176:L176"/>
    <mergeCell ref="D184:L185"/>
    <mergeCell ref="D186:D187"/>
    <mergeCell ref="E186:E187"/>
    <mergeCell ref="F186:F187"/>
    <mergeCell ref="G186:G187"/>
    <mergeCell ref="H186:H187"/>
    <mergeCell ref="I186:I187"/>
    <mergeCell ref="J186:J187"/>
    <mergeCell ref="K186:K187"/>
    <mergeCell ref="L186:L187"/>
    <mergeCell ref="B231:L231"/>
    <mergeCell ref="D239:L240"/>
    <mergeCell ref="D241:D242"/>
    <mergeCell ref="E241:E242"/>
    <mergeCell ref="F241:F242"/>
    <mergeCell ref="G241:G242"/>
    <mergeCell ref="H241:H242"/>
    <mergeCell ref="I241:I242"/>
    <mergeCell ref="I293:I294"/>
    <mergeCell ref="J293:J294"/>
    <mergeCell ref="K293:K294"/>
    <mergeCell ref="B304:L304"/>
    <mergeCell ref="D312:H313"/>
    <mergeCell ref="D314:H314"/>
    <mergeCell ref="J241:J242"/>
    <mergeCell ref="K241:K242"/>
    <mergeCell ref="L241:L242"/>
    <mergeCell ref="B283:L283"/>
    <mergeCell ref="D291:K292"/>
    <mergeCell ref="D293:D294"/>
    <mergeCell ref="E293:E294"/>
    <mergeCell ref="F293:F294"/>
    <mergeCell ref="G293:G294"/>
    <mergeCell ref="H293:H294"/>
    <mergeCell ref="D365:M366"/>
    <mergeCell ref="B374:L374"/>
    <mergeCell ref="D382:F383"/>
    <mergeCell ref="D384:F384"/>
    <mergeCell ref="B394:L394"/>
    <mergeCell ref="D402:I403"/>
    <mergeCell ref="B322:L322"/>
    <mergeCell ref="D330:I331"/>
    <mergeCell ref="D332:I332"/>
    <mergeCell ref="B340:L340"/>
    <mergeCell ref="D348:K349"/>
    <mergeCell ref="B357:L357"/>
    <mergeCell ref="D440:J440"/>
    <mergeCell ref="B453:L453"/>
    <mergeCell ref="D461:F462"/>
    <mergeCell ref="D463:F463"/>
    <mergeCell ref="B473:L473"/>
    <mergeCell ref="D481:I482"/>
    <mergeCell ref="D404:I404"/>
    <mergeCell ref="B412:L412"/>
    <mergeCell ref="D420:G421"/>
    <mergeCell ref="D422:G422"/>
    <mergeCell ref="B430:L430"/>
    <mergeCell ref="D438:J439"/>
    <mergeCell ref="D521:F521"/>
    <mergeCell ref="B531:L531"/>
    <mergeCell ref="D539:G540"/>
    <mergeCell ref="D541:G541"/>
    <mergeCell ref="B556:L556"/>
    <mergeCell ref="D564:O565"/>
    <mergeCell ref="D483:I483"/>
    <mergeCell ref="B493:L493"/>
    <mergeCell ref="D501:H502"/>
    <mergeCell ref="D503:H503"/>
    <mergeCell ref="B511:L511"/>
    <mergeCell ref="D519:F520"/>
    <mergeCell ref="B657:L657"/>
    <mergeCell ref="D665:P666"/>
    <mergeCell ref="D667:E667"/>
    <mergeCell ref="F667:L667"/>
    <mergeCell ref="M667:M668"/>
    <mergeCell ref="N667:N668"/>
    <mergeCell ref="O667:O668"/>
    <mergeCell ref="P667:P668"/>
    <mergeCell ref="N566:N567"/>
    <mergeCell ref="O566:O567"/>
    <mergeCell ref="B608:L608"/>
    <mergeCell ref="D616:L617"/>
    <mergeCell ref="D618:D619"/>
    <mergeCell ref="E618:H618"/>
    <mergeCell ref="I618:I619"/>
    <mergeCell ref="J618:J619"/>
    <mergeCell ref="K618:K619"/>
    <mergeCell ref="L618:L619"/>
    <mergeCell ref="D566:E566"/>
    <mergeCell ref="F566:G566"/>
    <mergeCell ref="H566:I566"/>
    <mergeCell ref="J566:K566"/>
    <mergeCell ref="L566:L567"/>
    <mergeCell ref="M566:M567"/>
    <mergeCell ref="B706:L706"/>
    <mergeCell ref="D714:D717"/>
    <mergeCell ref="E714:M715"/>
    <mergeCell ref="E716:E717"/>
    <mergeCell ref="F716:I716"/>
    <mergeCell ref="J716:J717"/>
    <mergeCell ref="K716:K717"/>
    <mergeCell ref="L716:L717"/>
    <mergeCell ref="M716:M717"/>
    <mergeCell ref="B744:L744"/>
    <mergeCell ref="D752:P753"/>
    <mergeCell ref="D754:E754"/>
    <mergeCell ref="F754:L754"/>
    <mergeCell ref="M754:M755"/>
    <mergeCell ref="N754:N755"/>
    <mergeCell ref="O754:O755"/>
    <mergeCell ref="P754:P755"/>
    <mergeCell ref="B725:L725"/>
    <mergeCell ref="D733:D736"/>
    <mergeCell ref="E733:Q734"/>
    <mergeCell ref="E735:F735"/>
    <mergeCell ref="G735:M735"/>
    <mergeCell ref="N735:N736"/>
    <mergeCell ref="O735:O736"/>
    <mergeCell ref="P735:P736"/>
    <mergeCell ref="Q735:Q736"/>
    <mergeCell ref="B784:L784"/>
    <mergeCell ref="D792:D793"/>
    <mergeCell ref="B802:L802"/>
    <mergeCell ref="D810:D811"/>
    <mergeCell ref="B763:L763"/>
    <mergeCell ref="D771:L772"/>
    <mergeCell ref="D773:D774"/>
    <mergeCell ref="E773:H773"/>
    <mergeCell ref="I773:I774"/>
    <mergeCell ref="J773:J774"/>
    <mergeCell ref="K773:K774"/>
    <mergeCell ref="L773:L774"/>
  </mergeCells>
  <dataValidations count="4">
    <dataValidation type="list" errorStyle="warning" allowBlank="1" showInputMessage="1" showErrorMessage="1" sqref="D9 D55 D119 D180 D235 D287 D308 D326 D344 D361 D378 D398 D416 D434 D457 D477 D497 D515 D535 D560 D612 D661 D710 D729 D748 D767 D788 D806" xr:uid="{E4BCFC47-26D3-4949-BEAE-31D9F70215A9}">
      <formula1>hier_PU_20</formula1>
    </dataValidation>
    <dataValidation type="list" errorStyle="warning" allowBlank="1" showInputMessage="1" showErrorMessage="1" sqref="H66 H67 H68 H69 H70 H71 H72 H73 H74 H75 H76 H77 H78 H79 H80 H81 H82 H83 H84 H85 H86 H87 H88 H191 H192 H193 H194 H195 H196 H197 H198 H199 H200 H201 H202 H203 H204 H246 H247 H248 H249 H250 H251 H252 H253 H254 H255 H256" xr:uid="{819D5290-68CC-406C-9ACB-5E8EB8A2BB86}">
      <formula1>hier_RT_10</formula1>
    </dataValidation>
    <dataValidation type="list" errorStyle="warning" allowBlank="1" showInputMessage="1" showErrorMessage="1" sqref="D721 D740" xr:uid="{BA2C82A8-0881-4143-BAA2-84ED46F2C4F8}">
      <formula1>hier_GA_36</formula1>
    </dataValidation>
    <dataValidation type="list" errorStyle="warning" allowBlank="1" showInputMessage="1" showErrorMessage="1" sqref="D797" xr:uid="{A87E86EE-719D-4744-AD1D-752751A768C7}">
      <formula1>hier_AP_28</formula1>
    </dataValidation>
  </dataValidations>
  <pageMargins left="0.7" right="0.7" top="0.75" bottom="0.75" header="0.3" footer="0.3"/>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79AE5-8409-4552-B079-6E4DE6E61263}">
  <sheetPr codeName="Blad163"/>
  <dimension ref="B2:O94"/>
  <sheetViews>
    <sheetView showGridLines="0" tabSelected="1" topLeftCell="A58" workbookViewId="0">
      <selection activeCell="D14" sqref="D14"/>
    </sheetView>
  </sheetViews>
  <sheetFormatPr defaultRowHeight="15"/>
  <cols>
    <col min="2" max="2" width="71.140625" bestFit="1" customWidth="1"/>
    <col min="4" max="5" width="15.7109375" customWidth="1"/>
  </cols>
  <sheetData>
    <row r="2" spans="2:15" ht="23.25">
      <c r="B2" s="86" t="s">
        <v>746</v>
      </c>
      <c r="C2" s="87"/>
      <c r="D2" s="87"/>
      <c r="E2" s="87"/>
      <c r="F2" s="87"/>
      <c r="G2" s="87"/>
      <c r="H2" s="87"/>
      <c r="I2" s="87"/>
      <c r="J2" s="87"/>
      <c r="K2" s="87"/>
      <c r="L2" s="87"/>
      <c r="M2" s="87"/>
      <c r="N2" s="87"/>
      <c r="O2" s="87"/>
    </row>
    <row r="5" spans="2:15" ht="18.75">
      <c r="B5" s="88" t="s">
        <v>5603</v>
      </c>
      <c r="C5" s="87"/>
      <c r="D5" s="87"/>
      <c r="E5" s="87"/>
      <c r="F5" s="87"/>
      <c r="G5" s="87"/>
      <c r="H5" s="87"/>
      <c r="I5" s="87"/>
      <c r="J5" s="87"/>
      <c r="K5" s="87"/>
      <c r="L5" s="87"/>
    </row>
    <row r="9" spans="2:15">
      <c r="D9" s="89" t="s">
        <v>2877</v>
      </c>
    </row>
    <row r="10" spans="2:15">
      <c r="D10" s="91"/>
    </row>
    <row r="11" spans="2:15" ht="30">
      <c r="D11" s="55" t="s">
        <v>5604</v>
      </c>
    </row>
    <row r="12" spans="2:15">
      <c r="D12" s="45" t="s">
        <v>2879</v>
      </c>
      <c r="K12" s="13"/>
      <c r="L12" s="13"/>
    </row>
    <row r="13" spans="2:15">
      <c r="B13" s="43" t="s">
        <v>2880</v>
      </c>
      <c r="C13" s="44" t="s">
        <v>2878</v>
      </c>
      <c r="D13" s="46"/>
    </row>
    <row r="14" spans="2:15">
      <c r="B14" s="47" t="s">
        <v>5605</v>
      </c>
      <c r="C14" s="41" t="s">
        <v>2883</v>
      </c>
      <c r="D14" s="60">
        <v>228370303.87312084</v>
      </c>
    </row>
    <row r="16" spans="2:15">
      <c r="K16" s="13"/>
      <c r="L16" s="13"/>
    </row>
    <row r="18" spans="2:12" ht="18.75">
      <c r="B18" s="88" t="s">
        <v>5606</v>
      </c>
      <c r="C18" s="87"/>
      <c r="D18" s="87"/>
      <c r="E18" s="87"/>
      <c r="F18" s="87"/>
      <c r="G18" s="87"/>
      <c r="H18" s="87"/>
      <c r="I18" s="87"/>
      <c r="J18" s="87"/>
      <c r="K18" s="87"/>
      <c r="L18" s="87"/>
    </row>
    <row r="22" spans="2:12">
      <c r="D22" s="92" t="s">
        <v>2877</v>
      </c>
      <c r="E22" s="94"/>
    </row>
    <row r="23" spans="2:12">
      <c r="D23" s="95"/>
      <c r="E23" s="97"/>
    </row>
    <row r="24" spans="2:12">
      <c r="D24" s="98" t="s">
        <v>5607</v>
      </c>
      <c r="E24" s="99"/>
    </row>
    <row r="25" spans="2:12" ht="90">
      <c r="D25" s="55" t="s">
        <v>5608</v>
      </c>
      <c r="E25" s="55" t="s">
        <v>5609</v>
      </c>
    </row>
    <row r="26" spans="2:12">
      <c r="D26" s="45" t="s">
        <v>3219</v>
      </c>
      <c r="E26" s="45" t="s">
        <v>3225</v>
      </c>
      <c r="K26" s="13"/>
      <c r="L26" s="13"/>
    </row>
    <row r="27" spans="2:12">
      <c r="B27" s="43" t="s">
        <v>2880</v>
      </c>
      <c r="C27" s="44" t="s">
        <v>2878</v>
      </c>
      <c r="D27" s="56"/>
      <c r="E27" s="57"/>
    </row>
    <row r="28" spans="2:12">
      <c r="B28" s="47" t="s">
        <v>5610</v>
      </c>
      <c r="C28" s="41" t="s">
        <v>2885</v>
      </c>
      <c r="D28" s="60">
        <v>26590580.559426155</v>
      </c>
      <c r="E28" s="60">
        <v>136791879.89000002</v>
      </c>
    </row>
    <row r="29" spans="2:12">
      <c r="B29" s="47" t="s">
        <v>4935</v>
      </c>
      <c r="C29" s="41" t="s">
        <v>2887</v>
      </c>
      <c r="D29" s="60">
        <v>8335093.2775697876</v>
      </c>
      <c r="E29" s="60">
        <v>24788832.21619672</v>
      </c>
    </row>
    <row r="30" spans="2:12">
      <c r="B30" s="47" t="s">
        <v>5611</v>
      </c>
      <c r="C30" s="41" t="s">
        <v>2889</v>
      </c>
      <c r="D30" s="60">
        <v>24657262.796414685</v>
      </c>
      <c r="E30" s="60">
        <v>102636929.2525</v>
      </c>
    </row>
    <row r="31" spans="2:12">
      <c r="B31" s="47" t="s">
        <v>5612</v>
      </c>
      <c r="C31" s="41" t="s">
        <v>3078</v>
      </c>
      <c r="D31" s="60">
        <v>597100149.66253424</v>
      </c>
      <c r="E31" s="60">
        <v>409671436.09290385</v>
      </c>
    </row>
    <row r="32" spans="2:12">
      <c r="B32" s="47" t="s">
        <v>5613</v>
      </c>
      <c r="C32" s="41" t="s">
        <v>2891</v>
      </c>
      <c r="D32" s="60">
        <v>51521705.413233101</v>
      </c>
      <c r="E32" s="60">
        <v>167231830.96274328</v>
      </c>
    </row>
    <row r="33" spans="2:12">
      <c r="B33" s="47" t="s">
        <v>5614</v>
      </c>
      <c r="C33" s="41" t="s">
        <v>2893</v>
      </c>
      <c r="D33" s="60">
        <v>2516833.2622995693</v>
      </c>
      <c r="E33" s="60">
        <v>1382464.8125000002</v>
      </c>
    </row>
    <row r="34" spans="2:12">
      <c r="B34" s="47" t="s">
        <v>5615</v>
      </c>
      <c r="C34" s="41" t="s">
        <v>2895</v>
      </c>
      <c r="D34" s="60">
        <v>275641016.16727793</v>
      </c>
      <c r="E34" s="60">
        <v>461674380.82755256</v>
      </c>
    </row>
    <row r="35" spans="2:12">
      <c r="B35" s="47" t="s">
        <v>5616</v>
      </c>
      <c r="C35" s="41" t="s">
        <v>2897</v>
      </c>
      <c r="D35" s="60">
        <v>98113282.800952733</v>
      </c>
      <c r="E35" s="60">
        <v>75336256.300776541</v>
      </c>
    </row>
    <row r="36" spans="2:12">
      <c r="B36" s="47" t="s">
        <v>5617</v>
      </c>
      <c r="C36" s="41" t="s">
        <v>2899</v>
      </c>
      <c r="D36" s="60">
        <v>22664.504428709726</v>
      </c>
      <c r="E36" s="60">
        <v>55073.920000000006</v>
      </c>
    </row>
    <row r="37" spans="2:12">
      <c r="B37" s="47" t="s">
        <v>5618</v>
      </c>
      <c r="C37" s="41" t="s">
        <v>2901</v>
      </c>
      <c r="D37" s="60">
        <v>27820453.132114604</v>
      </c>
      <c r="E37" s="60">
        <v>30676090.497499999</v>
      </c>
    </row>
    <row r="38" spans="2:12">
      <c r="B38" s="47" t="s">
        <v>5619</v>
      </c>
      <c r="C38" s="41" t="s">
        <v>2903</v>
      </c>
      <c r="D38" s="60">
        <v>1820590.6997991635</v>
      </c>
      <c r="E38" s="60">
        <v>14362303.07049913</v>
      </c>
    </row>
    <row r="39" spans="2:12">
      <c r="B39" s="47" t="s">
        <v>5620</v>
      </c>
      <c r="C39" s="41" t="s">
        <v>2905</v>
      </c>
      <c r="D39" s="60">
        <v>7213482.1658146121</v>
      </c>
      <c r="E39" s="60">
        <v>16602093.802697551</v>
      </c>
    </row>
    <row r="40" spans="2:12">
      <c r="B40" s="47" t="s">
        <v>3902</v>
      </c>
      <c r="C40" s="41" t="s">
        <v>2907</v>
      </c>
      <c r="D40" s="60">
        <v>1500137.0218493342</v>
      </c>
      <c r="E40" s="60">
        <v>802822.94000000006</v>
      </c>
    </row>
    <row r="41" spans="2:12">
      <c r="B41" s="47" t="s">
        <v>3903</v>
      </c>
      <c r="C41" s="41" t="s">
        <v>2909</v>
      </c>
      <c r="D41" s="60">
        <v>41542010.887292676</v>
      </c>
      <c r="E41" s="60">
        <v>4881275.2900000066</v>
      </c>
    </row>
    <row r="42" spans="2:12">
      <c r="B42" s="47" t="s">
        <v>3904</v>
      </c>
      <c r="C42" s="41" t="s">
        <v>2911</v>
      </c>
      <c r="D42" s="60">
        <v>1851086.2776222164</v>
      </c>
      <c r="E42" s="60">
        <v>4948.4300000000367</v>
      </c>
    </row>
    <row r="43" spans="2:12">
      <c r="B43" s="47" t="s">
        <v>3905</v>
      </c>
      <c r="C43" s="41" t="s">
        <v>2913</v>
      </c>
      <c r="D43" s="60">
        <v>0</v>
      </c>
      <c r="E43" s="60">
        <v>7320458.8100000024</v>
      </c>
    </row>
    <row r="45" spans="2:12">
      <c r="K45" s="13"/>
      <c r="L45" s="13"/>
    </row>
    <row r="47" spans="2:12" ht="18.75">
      <c r="B47" s="88" t="s">
        <v>5621</v>
      </c>
      <c r="C47" s="87"/>
      <c r="D47" s="87"/>
      <c r="E47" s="87"/>
      <c r="F47" s="87"/>
      <c r="G47" s="87"/>
      <c r="H47" s="87"/>
      <c r="I47" s="87"/>
      <c r="J47" s="87"/>
      <c r="K47" s="87"/>
      <c r="L47" s="87"/>
    </row>
    <row r="51" spans="2:12">
      <c r="D51" s="89" t="s">
        <v>2877</v>
      </c>
    </row>
    <row r="52" spans="2:12">
      <c r="D52" s="90"/>
    </row>
    <row r="53" spans="2:12">
      <c r="D53" s="91"/>
    </row>
    <row r="54" spans="2:12">
      <c r="D54" s="45" t="s">
        <v>3223</v>
      </c>
      <c r="K54" s="13"/>
      <c r="L54" s="13"/>
    </row>
    <row r="55" spans="2:12">
      <c r="B55" s="43" t="s">
        <v>2880</v>
      </c>
      <c r="C55" s="44" t="s">
        <v>2878</v>
      </c>
      <c r="D55" s="46"/>
    </row>
    <row r="56" spans="2:12">
      <c r="B56" s="47" t="s">
        <v>5622</v>
      </c>
      <c r="C56" s="41" t="s">
        <v>2919</v>
      </c>
      <c r="D56" s="60">
        <v>2818541.0029939678</v>
      </c>
    </row>
    <row r="58" spans="2:12">
      <c r="K58" s="13"/>
      <c r="L58" s="13"/>
    </row>
    <row r="60" spans="2:12" ht="18.75">
      <c r="B60" s="88" t="s">
        <v>5623</v>
      </c>
      <c r="C60" s="87"/>
      <c r="D60" s="87"/>
      <c r="E60" s="87"/>
      <c r="F60" s="87"/>
      <c r="G60" s="87"/>
      <c r="H60" s="87"/>
      <c r="I60" s="87"/>
      <c r="J60" s="87"/>
      <c r="K60" s="87"/>
      <c r="L60" s="87"/>
    </row>
    <row r="64" spans="2:12">
      <c r="D64" s="92" t="s">
        <v>2877</v>
      </c>
      <c r="E64" s="94"/>
    </row>
    <row r="65" spans="2:12">
      <c r="D65" s="95"/>
      <c r="E65" s="97"/>
    </row>
    <row r="66" spans="2:12" ht="90">
      <c r="D66" s="55" t="s">
        <v>5608</v>
      </c>
      <c r="E66" s="55" t="s">
        <v>5624</v>
      </c>
    </row>
    <row r="67" spans="2:12">
      <c r="D67" s="45" t="s">
        <v>3229</v>
      </c>
      <c r="E67" s="45" t="s">
        <v>3231</v>
      </c>
      <c r="K67" s="13"/>
      <c r="L67" s="13"/>
    </row>
    <row r="68" spans="2:12">
      <c r="B68" s="43" t="s">
        <v>2880</v>
      </c>
      <c r="C68" s="44" t="s">
        <v>2878</v>
      </c>
      <c r="D68" s="56"/>
      <c r="E68" s="59"/>
    </row>
    <row r="69" spans="2:12">
      <c r="B69" s="47" t="s">
        <v>5625</v>
      </c>
      <c r="C69" s="41" t="s">
        <v>2921</v>
      </c>
      <c r="D69" s="60">
        <v>0</v>
      </c>
      <c r="E69" s="48"/>
    </row>
    <row r="70" spans="2:12">
      <c r="B70" s="47" t="s">
        <v>5626</v>
      </c>
      <c r="C70" s="41" t="s">
        <v>2923</v>
      </c>
      <c r="D70" s="60">
        <v>0</v>
      </c>
      <c r="E70" s="48"/>
    </row>
    <row r="71" spans="2:12">
      <c r="B71" s="47" t="s">
        <v>5627</v>
      </c>
      <c r="C71" s="41" t="s">
        <v>2925</v>
      </c>
      <c r="D71" s="60">
        <v>0</v>
      </c>
      <c r="E71" s="48"/>
    </row>
    <row r="72" spans="2:12">
      <c r="B72" s="47" t="s">
        <v>5628</v>
      </c>
      <c r="C72" s="41" t="s">
        <v>2927</v>
      </c>
      <c r="D72" s="60">
        <v>134216238.23780797</v>
      </c>
      <c r="E72" s="46"/>
    </row>
    <row r="73" spans="2:12">
      <c r="B73" s="47" t="s">
        <v>5629</v>
      </c>
      <c r="C73" s="44" t="s">
        <v>2929</v>
      </c>
      <c r="D73" s="46"/>
      <c r="E73" s="60">
        <v>0</v>
      </c>
    </row>
    <row r="75" spans="2:12">
      <c r="K75" s="13"/>
      <c r="L75" s="13"/>
    </row>
    <row r="77" spans="2:12" ht="18.75">
      <c r="B77" s="88" t="s">
        <v>5630</v>
      </c>
      <c r="C77" s="87"/>
      <c r="D77" s="87"/>
      <c r="E77" s="87"/>
      <c r="F77" s="87"/>
      <c r="G77" s="87"/>
      <c r="H77" s="87"/>
      <c r="I77" s="87"/>
      <c r="J77" s="87"/>
      <c r="K77" s="87"/>
      <c r="L77" s="87"/>
    </row>
    <row r="81" spans="2:12">
      <c r="D81" s="89" t="s">
        <v>2877</v>
      </c>
    </row>
    <row r="82" spans="2:12">
      <c r="D82" s="90"/>
    </row>
    <row r="83" spans="2:12">
      <c r="D83" s="91"/>
    </row>
    <row r="84" spans="2:12">
      <c r="D84" s="45" t="s">
        <v>3233</v>
      </c>
      <c r="K84" s="13"/>
      <c r="L84" s="13"/>
    </row>
    <row r="85" spans="2:12">
      <c r="B85" s="43" t="s">
        <v>2880</v>
      </c>
      <c r="C85" s="44" t="s">
        <v>2878</v>
      </c>
      <c r="D85" s="46"/>
    </row>
    <row r="86" spans="2:12">
      <c r="B86" s="47" t="s">
        <v>5631</v>
      </c>
      <c r="C86" s="41" t="s">
        <v>2939</v>
      </c>
      <c r="D86" s="60">
        <v>231188844.87611482</v>
      </c>
    </row>
    <row r="87" spans="2:12">
      <c r="B87" s="47" t="s">
        <v>292</v>
      </c>
      <c r="C87" s="41" t="s">
        <v>2941</v>
      </c>
      <c r="D87" s="60">
        <v>1557238076.6152849</v>
      </c>
    </row>
    <row r="88" spans="2:12">
      <c r="B88" s="47" t="s">
        <v>5632</v>
      </c>
      <c r="C88" s="41" t="s">
        <v>2943</v>
      </c>
      <c r="D88" s="60">
        <v>700757134.47687829</v>
      </c>
    </row>
    <row r="89" spans="2:12">
      <c r="B89" s="47" t="s">
        <v>5633</v>
      </c>
      <c r="C89" s="41" t="s">
        <v>2945</v>
      </c>
      <c r="D89" s="60">
        <v>389309519.15382123</v>
      </c>
    </row>
    <row r="90" spans="2:12">
      <c r="B90" s="47" t="s">
        <v>5634</v>
      </c>
      <c r="C90" s="41" t="s">
        <v>2947</v>
      </c>
      <c r="D90" s="60">
        <v>389309519.15382123</v>
      </c>
    </row>
    <row r="91" spans="2:12">
      <c r="B91" s="47" t="s">
        <v>5635</v>
      </c>
      <c r="C91" s="41" t="s">
        <v>2949</v>
      </c>
      <c r="D91" s="60">
        <v>3900000</v>
      </c>
    </row>
    <row r="92" spans="2:12">
      <c r="B92" s="47" t="s">
        <v>4255</v>
      </c>
      <c r="C92" s="41" t="s">
        <v>2959</v>
      </c>
      <c r="D92" s="60">
        <v>389309519.15382123</v>
      </c>
    </row>
    <row r="94" spans="2:12">
      <c r="K94" s="13"/>
      <c r="L94" s="13"/>
    </row>
  </sheetData>
  <mergeCells count="12">
    <mergeCell ref="D81:D83"/>
    <mergeCell ref="B2:O2"/>
    <mergeCell ref="B5:L5"/>
    <mergeCell ref="D9:D10"/>
    <mergeCell ref="B18:L18"/>
    <mergeCell ref="D22:E23"/>
    <mergeCell ref="D24:E24"/>
    <mergeCell ref="B47:L47"/>
    <mergeCell ref="D51:D53"/>
    <mergeCell ref="B60:L60"/>
    <mergeCell ref="D64:E65"/>
    <mergeCell ref="B77:L77"/>
  </mergeCells>
  <pageMargins left="0.7" right="0.7" top="0.75" bottom="0.75" header="0.3" footer="0.3"/>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488A6-C34D-49E1-80EA-759F57403D72}">
  <sheetPr codeName="Blad164"/>
  <dimension ref="B2:P118"/>
  <sheetViews>
    <sheetView showGridLines="0" workbookViewId="0"/>
  </sheetViews>
  <sheetFormatPr defaultRowHeight="15"/>
  <cols>
    <col min="2" max="2" width="73.5703125" bestFit="1" customWidth="1"/>
    <col min="4" max="7" width="15.7109375" customWidth="1"/>
  </cols>
  <sheetData>
    <row r="2" spans="2:16" ht="23.25">
      <c r="B2" s="86" t="s">
        <v>748</v>
      </c>
      <c r="C2" s="87"/>
      <c r="D2" s="87"/>
      <c r="E2" s="87"/>
      <c r="F2" s="87"/>
      <c r="G2" s="87"/>
      <c r="H2" s="87"/>
      <c r="I2" s="87"/>
      <c r="J2" s="87"/>
      <c r="K2" s="87"/>
      <c r="L2" s="87"/>
      <c r="M2" s="87"/>
      <c r="N2" s="87"/>
      <c r="O2" s="87"/>
    </row>
    <row r="5" spans="2:16" ht="18.75">
      <c r="B5" s="88" t="s">
        <v>5636</v>
      </c>
      <c r="C5" s="87"/>
      <c r="D5" s="87"/>
      <c r="E5" s="87"/>
      <c r="F5" s="87"/>
      <c r="G5" s="87"/>
      <c r="H5" s="87"/>
      <c r="I5" s="87"/>
      <c r="J5" s="87"/>
      <c r="K5" s="87"/>
      <c r="L5" s="87"/>
    </row>
    <row r="9" spans="2:16">
      <c r="D9" s="92" t="s">
        <v>2877</v>
      </c>
      <c r="E9" s="94"/>
    </row>
    <row r="10" spans="2:16">
      <c r="D10" s="95"/>
      <c r="E10" s="97"/>
    </row>
    <row r="11" spans="2:16">
      <c r="D11" s="98" t="s">
        <v>5604</v>
      </c>
      <c r="E11" s="99"/>
    </row>
    <row r="12" spans="2:16" ht="30">
      <c r="D12" s="55" t="s">
        <v>5637</v>
      </c>
      <c r="E12" s="55" t="s">
        <v>5639</v>
      </c>
    </row>
    <row r="13" spans="2:16" ht="30">
      <c r="D13" s="55" t="s">
        <v>5638</v>
      </c>
      <c r="E13" s="55" t="s">
        <v>5640</v>
      </c>
    </row>
    <row r="14" spans="2:16">
      <c r="D14" s="45" t="s">
        <v>2879</v>
      </c>
      <c r="E14" s="45" t="s">
        <v>3219</v>
      </c>
      <c r="O14" s="13" t="str">
        <f>Show!$B$160&amp;"S.28.02.01.01 Rows {"&amp;COLUMN($C$1)&amp;"}"&amp;"@ForceFilingCode:true"</f>
        <v>!S.28.02.01.01 Rows {3}@ForceFilingCode:true</v>
      </c>
      <c r="P14" s="13" t="str">
        <f>Show!$B$160&amp;"S.28.02.01.01 Columns {"&amp;COLUMN($D$1)&amp;"}"</f>
        <v>!S.28.02.01.01 Columns {4}</v>
      </c>
    </row>
    <row r="15" spans="2:16">
      <c r="B15" s="43" t="s">
        <v>2880</v>
      </c>
      <c r="C15" s="44" t="s">
        <v>2878</v>
      </c>
      <c r="D15" s="56"/>
      <c r="E15" s="57"/>
    </row>
    <row r="16" spans="2:16">
      <c r="B16" s="47" t="s">
        <v>5641</v>
      </c>
      <c r="C16" s="41" t="s">
        <v>2883</v>
      </c>
      <c r="D16" s="60"/>
      <c r="E16" s="60"/>
    </row>
    <row r="18" spans="2:16">
      <c r="O18" s="13" t="str">
        <f>Show!$B$160&amp;Show!$B$160&amp;"S.28.02.01.01 Rows {"&amp;COLUMN($C$1)&amp;"}"</f>
        <v>!!S.28.02.01.01 Rows {3}</v>
      </c>
      <c r="P18" s="13" t="str">
        <f>Show!$B$160&amp;Show!$B$160&amp;"S.28.02.01.01 Columns {"&amp;COLUMN($E$1)&amp;"}"</f>
        <v>!!S.28.02.01.01 Columns {5}</v>
      </c>
    </row>
    <row r="20" spans="2:16" ht="18.75">
      <c r="B20" s="88" t="s">
        <v>5642</v>
      </c>
      <c r="C20" s="87"/>
      <c r="D20" s="87"/>
      <c r="E20" s="87"/>
      <c r="F20" s="87"/>
      <c r="G20" s="87"/>
      <c r="H20" s="87"/>
      <c r="I20" s="87"/>
      <c r="J20" s="87"/>
      <c r="K20" s="87"/>
      <c r="L20" s="87"/>
    </row>
    <row r="24" spans="2:16">
      <c r="D24" s="92" t="s">
        <v>2877</v>
      </c>
      <c r="E24" s="93"/>
      <c r="F24" s="93"/>
      <c r="G24" s="94"/>
    </row>
    <row r="25" spans="2:16">
      <c r="D25" s="95"/>
      <c r="E25" s="96"/>
      <c r="F25" s="96"/>
      <c r="G25" s="97"/>
    </row>
    <row r="26" spans="2:16">
      <c r="D26" s="98" t="s">
        <v>5607</v>
      </c>
      <c r="E26" s="100"/>
      <c r="F26" s="100"/>
      <c r="G26" s="99"/>
    </row>
    <row r="27" spans="2:16">
      <c r="D27" s="98" t="s">
        <v>5637</v>
      </c>
      <c r="E27" s="99"/>
      <c r="F27" s="98" t="s">
        <v>5639</v>
      </c>
      <c r="G27" s="99"/>
    </row>
    <row r="28" spans="2:16" ht="90">
      <c r="D28" s="55" t="s">
        <v>5643</v>
      </c>
      <c r="E28" s="55" t="s">
        <v>5609</v>
      </c>
      <c r="F28" s="55" t="s">
        <v>5608</v>
      </c>
      <c r="G28" s="55" t="s">
        <v>5609</v>
      </c>
    </row>
    <row r="29" spans="2:16">
      <c r="D29" s="45" t="s">
        <v>3225</v>
      </c>
      <c r="E29" s="45" t="s">
        <v>3223</v>
      </c>
      <c r="F29" s="45" t="s">
        <v>3229</v>
      </c>
      <c r="G29" s="45" t="s">
        <v>3231</v>
      </c>
      <c r="O29" s="13" t="str">
        <f>Show!$B$160&amp;"S.28.02.01.02 Rows {"&amp;COLUMN($C$1)&amp;"}"&amp;"@ForceFilingCode:true"</f>
        <v>!S.28.02.01.02 Rows {3}@ForceFilingCode:true</v>
      </c>
      <c r="P29" s="13" t="str">
        <f>Show!$B$160&amp;"S.28.02.01.02 Columns {"&amp;COLUMN($D$1)&amp;"}"</f>
        <v>!S.28.02.01.02 Columns {4}</v>
      </c>
    </row>
    <row r="30" spans="2:16">
      <c r="B30" s="43" t="s">
        <v>2880</v>
      </c>
      <c r="C30" s="44" t="s">
        <v>2878</v>
      </c>
      <c r="D30" s="56"/>
      <c r="E30" s="66"/>
      <c r="F30" s="66"/>
      <c r="G30" s="57"/>
    </row>
    <row r="31" spans="2:16">
      <c r="B31" s="47" t="s">
        <v>5610</v>
      </c>
      <c r="C31" s="41" t="s">
        <v>2885</v>
      </c>
      <c r="D31" s="60"/>
      <c r="E31" s="60"/>
      <c r="F31" s="60"/>
      <c r="G31" s="60"/>
    </row>
    <row r="32" spans="2:16">
      <c r="B32" s="47" t="s">
        <v>4935</v>
      </c>
      <c r="C32" s="41" t="s">
        <v>2887</v>
      </c>
      <c r="D32" s="60"/>
      <c r="E32" s="60"/>
      <c r="F32" s="60"/>
      <c r="G32" s="60"/>
    </row>
    <row r="33" spans="2:16">
      <c r="B33" s="47" t="s">
        <v>5611</v>
      </c>
      <c r="C33" s="41" t="s">
        <v>2889</v>
      </c>
      <c r="D33" s="60"/>
      <c r="E33" s="60"/>
      <c r="F33" s="60"/>
      <c r="G33" s="60"/>
    </row>
    <row r="34" spans="2:16">
      <c r="B34" s="47" t="s">
        <v>5612</v>
      </c>
      <c r="C34" s="41" t="s">
        <v>3078</v>
      </c>
      <c r="D34" s="60"/>
      <c r="E34" s="60"/>
      <c r="F34" s="60"/>
      <c r="G34" s="60"/>
    </row>
    <row r="35" spans="2:16">
      <c r="B35" s="47" t="s">
        <v>5613</v>
      </c>
      <c r="C35" s="41" t="s">
        <v>2891</v>
      </c>
      <c r="D35" s="60"/>
      <c r="E35" s="60"/>
      <c r="F35" s="60"/>
      <c r="G35" s="60"/>
    </row>
    <row r="36" spans="2:16">
      <c r="B36" s="47" t="s">
        <v>5614</v>
      </c>
      <c r="C36" s="41" t="s">
        <v>2893</v>
      </c>
      <c r="D36" s="60"/>
      <c r="E36" s="60"/>
      <c r="F36" s="60"/>
      <c r="G36" s="60"/>
    </row>
    <row r="37" spans="2:16">
      <c r="B37" s="47" t="s">
        <v>5615</v>
      </c>
      <c r="C37" s="41" t="s">
        <v>2895</v>
      </c>
      <c r="D37" s="60"/>
      <c r="E37" s="60"/>
      <c r="F37" s="60"/>
      <c r="G37" s="60"/>
    </row>
    <row r="38" spans="2:16">
      <c r="B38" s="47" t="s">
        <v>5616</v>
      </c>
      <c r="C38" s="41" t="s">
        <v>2897</v>
      </c>
      <c r="D38" s="60"/>
      <c r="E38" s="60"/>
      <c r="F38" s="60"/>
      <c r="G38" s="60"/>
    </row>
    <row r="39" spans="2:16">
      <c r="B39" s="47" t="s">
        <v>5617</v>
      </c>
      <c r="C39" s="41" t="s">
        <v>2899</v>
      </c>
      <c r="D39" s="60"/>
      <c r="E39" s="60"/>
      <c r="F39" s="60"/>
      <c r="G39" s="60"/>
    </row>
    <row r="40" spans="2:16">
      <c r="B40" s="47" t="s">
        <v>5618</v>
      </c>
      <c r="C40" s="41" t="s">
        <v>2901</v>
      </c>
      <c r="D40" s="60"/>
      <c r="E40" s="60"/>
      <c r="F40" s="60"/>
      <c r="G40" s="60"/>
    </row>
    <row r="41" spans="2:16">
      <c r="B41" s="47" t="s">
        <v>5619</v>
      </c>
      <c r="C41" s="41" t="s">
        <v>2903</v>
      </c>
      <c r="D41" s="60"/>
      <c r="E41" s="60"/>
      <c r="F41" s="60"/>
      <c r="G41" s="60"/>
    </row>
    <row r="42" spans="2:16">
      <c r="B42" s="47" t="s">
        <v>5620</v>
      </c>
      <c r="C42" s="41" t="s">
        <v>2905</v>
      </c>
      <c r="D42" s="60"/>
      <c r="E42" s="60"/>
      <c r="F42" s="60"/>
      <c r="G42" s="60"/>
    </row>
    <row r="43" spans="2:16">
      <c r="B43" s="47" t="s">
        <v>3902</v>
      </c>
      <c r="C43" s="41" t="s">
        <v>2907</v>
      </c>
      <c r="D43" s="60"/>
      <c r="E43" s="60"/>
      <c r="F43" s="60"/>
      <c r="G43" s="60"/>
    </row>
    <row r="44" spans="2:16">
      <c r="B44" s="47" t="s">
        <v>3903</v>
      </c>
      <c r="C44" s="41" t="s">
        <v>2909</v>
      </c>
      <c r="D44" s="60"/>
      <c r="E44" s="60"/>
      <c r="F44" s="60"/>
      <c r="G44" s="60"/>
    </row>
    <row r="45" spans="2:16">
      <c r="B45" s="47" t="s">
        <v>3904</v>
      </c>
      <c r="C45" s="41" t="s">
        <v>2911</v>
      </c>
      <c r="D45" s="60"/>
      <c r="E45" s="60"/>
      <c r="F45" s="60"/>
      <c r="G45" s="60"/>
    </row>
    <row r="46" spans="2:16">
      <c r="B46" s="47" t="s">
        <v>3905</v>
      </c>
      <c r="C46" s="41" t="s">
        <v>2913</v>
      </c>
      <c r="D46" s="60"/>
      <c r="E46" s="60"/>
      <c r="F46" s="60"/>
      <c r="G46" s="60"/>
    </row>
    <row r="48" spans="2:16">
      <c r="O48" s="13" t="str">
        <f>Show!$B$160&amp;Show!$B$160&amp;"S.28.02.01.02 Rows {"&amp;COLUMN($C$1)&amp;"}"</f>
        <v>!!S.28.02.01.02 Rows {3}</v>
      </c>
      <c r="P48" s="13" t="str">
        <f>Show!$B$160&amp;Show!$B$160&amp;"S.28.02.01.02 Columns {"&amp;COLUMN($G$1)&amp;"}"</f>
        <v>!!S.28.02.01.02 Columns {7}</v>
      </c>
    </row>
    <row r="50" spans="2:16" ht="18.75">
      <c r="B50" s="88" t="s">
        <v>5644</v>
      </c>
      <c r="C50" s="87"/>
      <c r="D50" s="87"/>
      <c r="E50" s="87"/>
      <c r="F50" s="87"/>
      <c r="G50" s="87"/>
      <c r="H50" s="87"/>
      <c r="I50" s="87"/>
      <c r="J50" s="87"/>
      <c r="K50" s="87"/>
      <c r="L50" s="87"/>
    </row>
    <row r="54" spans="2:16">
      <c r="D54" s="92" t="s">
        <v>2877</v>
      </c>
      <c r="E54" s="94"/>
    </row>
    <row r="55" spans="2:16">
      <c r="D55" s="95"/>
      <c r="E55" s="97"/>
    </row>
    <row r="56" spans="2:16" ht="30">
      <c r="D56" s="55" t="s">
        <v>5637</v>
      </c>
      <c r="E56" s="55" t="s">
        <v>5639</v>
      </c>
    </row>
    <row r="57" spans="2:16" ht="30">
      <c r="D57" s="55" t="s">
        <v>5645</v>
      </c>
      <c r="E57" s="55" t="s">
        <v>5646</v>
      </c>
    </row>
    <row r="58" spans="2:16">
      <c r="D58" s="45" t="s">
        <v>3233</v>
      </c>
      <c r="E58" s="45" t="s">
        <v>3234</v>
      </c>
      <c r="O58" s="13" t="str">
        <f>Show!$B$160&amp;"S.28.02.01.03 Rows {"&amp;COLUMN($C$1)&amp;"}"&amp;"@ForceFilingCode:true"</f>
        <v>!S.28.02.01.03 Rows {3}@ForceFilingCode:true</v>
      </c>
      <c r="P58" s="13" t="str">
        <f>Show!$B$160&amp;"S.28.02.01.03 Columns {"&amp;COLUMN($D$1)&amp;"}"</f>
        <v>!S.28.02.01.03 Columns {4}</v>
      </c>
    </row>
    <row r="59" spans="2:16">
      <c r="B59" s="43" t="s">
        <v>2880</v>
      </c>
      <c r="C59" s="44" t="s">
        <v>2878</v>
      </c>
      <c r="D59" s="56"/>
      <c r="E59" s="57"/>
    </row>
    <row r="60" spans="2:16">
      <c r="B60" s="47" t="s">
        <v>5647</v>
      </c>
      <c r="C60" s="41" t="s">
        <v>2919</v>
      </c>
      <c r="D60" s="60"/>
      <c r="E60" s="60"/>
    </row>
    <row r="62" spans="2:16">
      <c r="O62" s="13" t="str">
        <f>Show!$B$160&amp;Show!$B$160&amp;"S.28.02.01.03 Rows {"&amp;COLUMN($C$1)&amp;"}"</f>
        <v>!!S.28.02.01.03 Rows {3}</v>
      </c>
      <c r="P62" s="13" t="str">
        <f>Show!$B$160&amp;Show!$B$160&amp;"S.28.02.01.03 Columns {"&amp;COLUMN($E$1)&amp;"}"</f>
        <v>!!S.28.02.01.03 Columns {5}</v>
      </c>
    </row>
    <row r="64" spans="2:16" ht="18.75">
      <c r="B64" s="88" t="s">
        <v>5648</v>
      </c>
      <c r="C64" s="87"/>
      <c r="D64" s="87"/>
      <c r="E64" s="87"/>
      <c r="F64" s="87"/>
      <c r="G64" s="87"/>
      <c r="H64" s="87"/>
      <c r="I64" s="87"/>
      <c r="J64" s="87"/>
      <c r="K64" s="87"/>
      <c r="L64" s="87"/>
    </row>
    <row r="68" spans="2:16">
      <c r="D68" s="92" t="s">
        <v>2877</v>
      </c>
      <c r="E68" s="93"/>
      <c r="F68" s="93"/>
      <c r="G68" s="94"/>
    </row>
    <row r="69" spans="2:16">
      <c r="D69" s="95"/>
      <c r="E69" s="96"/>
      <c r="F69" s="96"/>
      <c r="G69" s="97"/>
    </row>
    <row r="70" spans="2:16">
      <c r="D70" s="98" t="s">
        <v>5637</v>
      </c>
      <c r="E70" s="99"/>
      <c r="F70" s="98" t="s">
        <v>5639</v>
      </c>
      <c r="G70" s="99"/>
    </row>
    <row r="71" spans="2:16" ht="90">
      <c r="D71" s="55" t="s">
        <v>5608</v>
      </c>
      <c r="E71" s="55" t="s">
        <v>5624</v>
      </c>
      <c r="F71" s="55" t="s">
        <v>5608</v>
      </c>
      <c r="G71" s="55" t="s">
        <v>5624</v>
      </c>
    </row>
    <row r="72" spans="2:16">
      <c r="D72" s="45" t="s">
        <v>3236</v>
      </c>
      <c r="E72" s="45" t="s">
        <v>3239</v>
      </c>
      <c r="F72" s="45" t="s">
        <v>3241</v>
      </c>
      <c r="G72" s="45" t="s">
        <v>3243</v>
      </c>
      <c r="O72" s="13" t="str">
        <f>Show!$B$160&amp;"S.28.02.01.04 Rows {"&amp;COLUMN($C$1)&amp;"}"&amp;"@ForceFilingCode:true"</f>
        <v>!S.28.02.01.04 Rows {3}@ForceFilingCode:true</v>
      </c>
      <c r="P72" s="13" t="str">
        <f>Show!$B$160&amp;"S.28.02.01.04 Columns {"&amp;COLUMN($D$1)&amp;"}"</f>
        <v>!S.28.02.01.04 Columns {4}</v>
      </c>
    </row>
    <row r="73" spans="2:16">
      <c r="B73" s="43" t="s">
        <v>2880</v>
      </c>
      <c r="C73" s="44" t="s">
        <v>2878</v>
      </c>
      <c r="D73" s="56"/>
      <c r="E73" s="67"/>
      <c r="F73" s="66"/>
      <c r="G73" s="59"/>
    </row>
    <row r="74" spans="2:16">
      <c r="B74" s="47" t="s">
        <v>5625</v>
      </c>
      <c r="C74" s="41" t="s">
        <v>2921</v>
      </c>
      <c r="D74" s="64"/>
      <c r="E74" s="48"/>
      <c r="F74" s="64"/>
      <c r="G74" s="48"/>
    </row>
    <row r="75" spans="2:16">
      <c r="B75" s="47" t="s">
        <v>5626</v>
      </c>
      <c r="C75" s="41" t="s">
        <v>2923</v>
      </c>
      <c r="D75" s="64"/>
      <c r="E75" s="48"/>
      <c r="F75" s="64"/>
      <c r="G75" s="48"/>
    </row>
    <row r="76" spans="2:16">
      <c r="B76" s="47" t="s">
        <v>5627</v>
      </c>
      <c r="C76" s="41" t="s">
        <v>2925</v>
      </c>
      <c r="D76" s="64"/>
      <c r="E76" s="48"/>
      <c r="F76" s="64"/>
      <c r="G76" s="48"/>
    </row>
    <row r="77" spans="2:16">
      <c r="B77" s="47" t="s">
        <v>5628</v>
      </c>
      <c r="C77" s="41" t="s">
        <v>2927</v>
      </c>
      <c r="D77" s="65"/>
      <c r="E77" s="46"/>
      <c r="F77" s="65"/>
      <c r="G77" s="46"/>
    </row>
    <row r="78" spans="2:16">
      <c r="B78" s="47" t="s">
        <v>5629</v>
      </c>
      <c r="C78" s="44" t="s">
        <v>2929</v>
      </c>
      <c r="D78" s="46"/>
      <c r="E78" s="64"/>
      <c r="F78" s="46"/>
      <c r="G78" s="60"/>
    </row>
    <row r="80" spans="2:16">
      <c r="O80" s="13" t="str">
        <f>Show!$B$160&amp;Show!$B$160&amp;"S.28.02.01.04 Rows {"&amp;COLUMN($C$1)&amp;"}"</f>
        <v>!!S.28.02.01.04 Rows {3}</v>
      </c>
      <c r="P80" s="13" t="str">
        <f>Show!$B$160&amp;Show!$B$160&amp;"S.28.02.01.04 Columns {"&amp;COLUMN($G$1)&amp;"}"</f>
        <v>!!S.28.02.01.04 Columns {7}</v>
      </c>
    </row>
    <row r="82" spans="2:16" ht="18.75">
      <c r="B82" s="88" t="s">
        <v>5649</v>
      </c>
      <c r="C82" s="87"/>
      <c r="D82" s="87"/>
      <c r="E82" s="87"/>
      <c r="F82" s="87"/>
      <c r="G82" s="87"/>
      <c r="H82" s="87"/>
      <c r="I82" s="87"/>
      <c r="J82" s="87"/>
      <c r="K82" s="87"/>
      <c r="L82" s="87"/>
    </row>
    <row r="86" spans="2:16">
      <c r="D86" s="89" t="s">
        <v>2877</v>
      </c>
    </row>
    <row r="87" spans="2:16">
      <c r="D87" s="90"/>
    </row>
    <row r="88" spans="2:16">
      <c r="D88" s="91"/>
    </row>
    <row r="89" spans="2:16">
      <c r="D89" s="45" t="s">
        <v>3375</v>
      </c>
      <c r="O89" s="13" t="str">
        <f>Show!$B$160&amp;"S.28.02.01.05 Rows {"&amp;COLUMN($C$1)&amp;"}"&amp;"@ForceFilingCode:true"</f>
        <v>!S.28.02.01.05 Rows {3}@ForceFilingCode:true</v>
      </c>
      <c r="P89" s="13" t="str">
        <f>Show!$B$160&amp;"S.28.02.01.05 Columns {"&amp;COLUMN($D$1)&amp;"}"</f>
        <v>!S.28.02.01.05 Columns {4}</v>
      </c>
    </row>
    <row r="90" spans="2:16">
      <c r="B90" s="43" t="s">
        <v>2880</v>
      </c>
      <c r="C90" s="44" t="s">
        <v>2878</v>
      </c>
      <c r="D90" s="46"/>
    </row>
    <row r="91" spans="2:16">
      <c r="B91" s="47" t="s">
        <v>5631</v>
      </c>
      <c r="C91" s="41" t="s">
        <v>2939</v>
      </c>
      <c r="D91" s="60"/>
    </row>
    <row r="92" spans="2:16">
      <c r="B92" s="47" t="s">
        <v>292</v>
      </c>
      <c r="C92" s="41" t="s">
        <v>2941</v>
      </c>
      <c r="D92" s="60"/>
    </row>
    <row r="93" spans="2:16">
      <c r="B93" s="47" t="s">
        <v>5632</v>
      </c>
      <c r="C93" s="41" t="s">
        <v>2943</v>
      </c>
      <c r="D93" s="60"/>
    </row>
    <row r="94" spans="2:16">
      <c r="B94" s="47" t="s">
        <v>5633</v>
      </c>
      <c r="C94" s="41" t="s">
        <v>2945</v>
      </c>
      <c r="D94" s="60"/>
    </row>
    <row r="95" spans="2:16">
      <c r="B95" s="47" t="s">
        <v>5634</v>
      </c>
      <c r="C95" s="41" t="s">
        <v>2947</v>
      </c>
      <c r="D95" s="60"/>
    </row>
    <row r="96" spans="2:16">
      <c r="B96" s="47" t="s">
        <v>5635</v>
      </c>
      <c r="C96" s="41" t="s">
        <v>2949</v>
      </c>
      <c r="D96" s="60"/>
    </row>
    <row r="97" spans="2:16">
      <c r="B97" s="47" t="s">
        <v>4255</v>
      </c>
      <c r="C97" s="41" t="s">
        <v>2959</v>
      </c>
      <c r="D97" s="60"/>
    </row>
    <row r="99" spans="2:16">
      <c r="O99" s="13" t="str">
        <f>Show!$B$160&amp;Show!$B$160&amp;"S.28.02.01.05 Rows {"&amp;COLUMN($C$1)&amp;"}"</f>
        <v>!!S.28.02.01.05 Rows {3}</v>
      </c>
      <c r="P99" s="13" t="str">
        <f>Show!$B$160&amp;Show!$B$160&amp;"S.28.02.01.05 Columns {"&amp;COLUMN($D$1)&amp;"}"</f>
        <v>!!S.28.02.01.05 Columns {4}</v>
      </c>
    </row>
    <row r="101" spans="2:16" ht="18.75">
      <c r="B101" s="88" t="s">
        <v>5650</v>
      </c>
      <c r="C101" s="87"/>
      <c r="D101" s="87"/>
      <c r="E101" s="87"/>
      <c r="F101" s="87"/>
      <c r="G101" s="87"/>
      <c r="H101" s="87"/>
      <c r="I101" s="87"/>
      <c r="J101" s="87"/>
      <c r="K101" s="87"/>
      <c r="L101" s="87"/>
    </row>
    <row r="105" spans="2:16">
      <c r="D105" s="92" t="s">
        <v>2877</v>
      </c>
      <c r="E105" s="94"/>
    </row>
    <row r="106" spans="2:16">
      <c r="D106" s="95"/>
      <c r="E106" s="97"/>
    </row>
    <row r="107" spans="2:16" ht="30">
      <c r="D107" s="55" t="s">
        <v>5637</v>
      </c>
      <c r="E107" s="55" t="s">
        <v>5639</v>
      </c>
    </row>
    <row r="108" spans="2:16">
      <c r="D108" s="45" t="s">
        <v>3475</v>
      </c>
      <c r="E108" s="45" t="s">
        <v>3477</v>
      </c>
      <c r="O108" s="13" t="str">
        <f>Show!$B$160&amp;"S.28.02.01.06 Rows {"&amp;COLUMN($C$1)&amp;"}"&amp;"@ForceFilingCode:true"</f>
        <v>!S.28.02.01.06 Rows {3}@ForceFilingCode:true</v>
      </c>
      <c r="P108" s="13" t="str">
        <f>Show!$B$160&amp;"S.28.02.01.06 Columns {"&amp;COLUMN($D$1)&amp;"}"</f>
        <v>!S.28.02.01.06 Columns {4}</v>
      </c>
    </row>
    <row r="109" spans="2:16">
      <c r="B109" s="43" t="s">
        <v>2880</v>
      </c>
      <c r="C109" s="44" t="s">
        <v>2878</v>
      </c>
      <c r="D109" s="56"/>
      <c r="E109" s="57"/>
    </row>
    <row r="110" spans="2:16">
      <c r="B110" s="47" t="s">
        <v>5651</v>
      </c>
      <c r="C110" s="41" t="s">
        <v>2977</v>
      </c>
      <c r="D110" s="60"/>
      <c r="E110" s="60"/>
    </row>
    <row r="111" spans="2:16">
      <c r="B111" s="47" t="s">
        <v>5652</v>
      </c>
      <c r="C111" s="41" t="s">
        <v>2979</v>
      </c>
      <c r="D111" s="60"/>
      <c r="E111" s="60"/>
    </row>
    <row r="112" spans="2:16">
      <c r="B112" s="47" t="s">
        <v>5653</v>
      </c>
      <c r="C112" s="41" t="s">
        <v>2981</v>
      </c>
      <c r="D112" s="60"/>
      <c r="E112" s="60"/>
    </row>
    <row r="113" spans="2:16">
      <c r="B113" s="47" t="s">
        <v>5654</v>
      </c>
      <c r="C113" s="41" t="s">
        <v>2983</v>
      </c>
      <c r="D113" s="60"/>
      <c r="E113" s="60"/>
    </row>
    <row r="114" spans="2:16">
      <c r="B114" s="47" t="s">
        <v>5655</v>
      </c>
      <c r="C114" s="41" t="s">
        <v>2985</v>
      </c>
      <c r="D114" s="60"/>
      <c r="E114" s="60"/>
    </row>
    <row r="115" spans="2:16">
      <c r="B115" s="47" t="s">
        <v>5656</v>
      </c>
      <c r="C115" s="41" t="s">
        <v>2987</v>
      </c>
      <c r="D115" s="60"/>
      <c r="E115" s="60"/>
    </row>
    <row r="116" spans="2:16">
      <c r="B116" s="47" t="s">
        <v>5657</v>
      </c>
      <c r="C116" s="41" t="s">
        <v>2989</v>
      </c>
      <c r="D116" s="60"/>
      <c r="E116" s="60"/>
    </row>
    <row r="118" spans="2:16">
      <c r="O118" s="13" t="str">
        <f>Show!$B$160&amp;Show!$B$160&amp;"S.28.02.01.06 Rows {"&amp;COLUMN($C$1)&amp;"}"</f>
        <v>!!S.28.02.01.06 Rows {3}</v>
      </c>
      <c r="P118" s="13" t="str">
        <f>Show!$B$160&amp;Show!$B$160&amp;"S.28.02.01.06 Columns {"&amp;COLUMN($E$1)&amp;"}"</f>
        <v>!!S.28.02.01.06 Columns {5}</v>
      </c>
    </row>
  </sheetData>
  <sheetProtection sheet="1" objects="1" scenarios="1"/>
  <mergeCells count="19">
    <mergeCell ref="B64:L64"/>
    <mergeCell ref="B2:O2"/>
    <mergeCell ref="B5:L5"/>
    <mergeCell ref="D9:E10"/>
    <mergeCell ref="D11:E11"/>
    <mergeCell ref="B20:L20"/>
    <mergeCell ref="D24:G25"/>
    <mergeCell ref="D26:G26"/>
    <mergeCell ref="D27:E27"/>
    <mergeCell ref="F27:G27"/>
    <mergeCell ref="B50:L50"/>
    <mergeCell ref="D54:E55"/>
    <mergeCell ref="D105:E106"/>
    <mergeCell ref="D68:G69"/>
    <mergeCell ref="D70:E70"/>
    <mergeCell ref="F70:G70"/>
    <mergeCell ref="B82:L82"/>
    <mergeCell ref="D86:D88"/>
    <mergeCell ref="B101:L101"/>
  </mergeCells>
  <pageMargins left="0.7" right="0.7" top="0.75" bottom="0.75" header="0.3" footer="0.3"/>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820C7-43E0-4837-9091-FF5875FA4707}">
  <sheetPr codeName="Blad165"/>
  <dimension ref="B2:O57"/>
  <sheetViews>
    <sheetView showGridLines="0" workbookViewId="0"/>
  </sheetViews>
  <sheetFormatPr defaultRowHeight="15"/>
  <cols>
    <col min="2" max="2" width="85.85546875" bestFit="1" customWidth="1"/>
    <col min="4" max="6" width="15.7109375" customWidth="1"/>
  </cols>
  <sheetData>
    <row r="2" spans="2:15" ht="23.25">
      <c r="B2" s="86" t="s">
        <v>750</v>
      </c>
      <c r="C2" s="87"/>
      <c r="D2" s="87"/>
      <c r="E2" s="87"/>
      <c r="F2" s="87"/>
      <c r="G2" s="87"/>
      <c r="H2" s="87"/>
      <c r="I2" s="87"/>
      <c r="J2" s="87"/>
      <c r="K2" s="87"/>
      <c r="L2" s="87"/>
      <c r="M2" s="87"/>
      <c r="N2" s="87"/>
      <c r="O2" s="87"/>
    </row>
    <row r="5" spans="2:15" ht="18.75">
      <c r="B5" s="88" t="s">
        <v>5658</v>
      </c>
      <c r="C5" s="87"/>
      <c r="D5" s="87"/>
      <c r="E5" s="87"/>
      <c r="F5" s="87"/>
      <c r="G5" s="87"/>
      <c r="H5" s="87"/>
      <c r="I5" s="87"/>
      <c r="J5" s="87"/>
      <c r="K5" s="87"/>
      <c r="L5" s="87"/>
    </row>
    <row r="9" spans="2:15">
      <c r="D9" s="92" t="s">
        <v>2877</v>
      </c>
      <c r="E9" s="93"/>
      <c r="F9" s="94"/>
    </row>
    <row r="10" spans="2:15">
      <c r="D10" s="95"/>
      <c r="E10" s="96"/>
      <c r="F10" s="97"/>
    </row>
    <row r="11" spans="2:15">
      <c r="D11" s="89" t="s">
        <v>5659</v>
      </c>
      <c r="E11" s="89" t="s">
        <v>5660</v>
      </c>
      <c r="F11" s="89" t="s">
        <v>5661</v>
      </c>
    </row>
    <row r="12" spans="2:15">
      <c r="D12" s="91"/>
      <c r="E12" s="91"/>
      <c r="F12" s="91"/>
    </row>
    <row r="13" spans="2:15">
      <c r="D13" s="45" t="s">
        <v>2879</v>
      </c>
      <c r="E13" s="45" t="s">
        <v>3219</v>
      </c>
      <c r="F13" s="45" t="s">
        <v>3225</v>
      </c>
      <c r="K13" s="13" t="str">
        <f>Show!$B$161&amp;"S.29.01.01.01 Rows {"&amp;COLUMN($C$1)&amp;"}"&amp;"@ForceFilingCode:true"</f>
        <v>!S.29.01.01.01 Rows {3}@ForceFilingCode:true</v>
      </c>
      <c r="L13" s="13" t="str">
        <f>Show!$B$161&amp;"S.29.01.01.01 Columns {"&amp;COLUMN($D$1)&amp;"}"</f>
        <v>!S.29.01.01.01 Columns {4}</v>
      </c>
    </row>
    <row r="14" spans="2:15">
      <c r="B14" s="43" t="s">
        <v>2880</v>
      </c>
      <c r="C14" s="44" t="s">
        <v>2878</v>
      </c>
      <c r="D14" s="58"/>
      <c r="E14" s="67"/>
      <c r="F14" s="59"/>
    </row>
    <row r="15" spans="2:15" ht="30">
      <c r="B15" s="47" t="s">
        <v>4344</v>
      </c>
      <c r="C15" s="44" t="s">
        <v>2878</v>
      </c>
      <c r="D15" s="56"/>
      <c r="E15" s="66"/>
      <c r="F15" s="57"/>
    </row>
    <row r="16" spans="2:15">
      <c r="B16" s="49" t="s">
        <v>4345</v>
      </c>
      <c r="C16" s="41" t="s">
        <v>2883</v>
      </c>
      <c r="D16" s="60"/>
      <c r="E16" s="60"/>
      <c r="F16" s="60"/>
    </row>
    <row r="17" spans="2:12">
      <c r="B17" s="49" t="s">
        <v>4346</v>
      </c>
      <c r="C17" s="41" t="s">
        <v>2885</v>
      </c>
      <c r="D17" s="60"/>
      <c r="E17" s="60"/>
      <c r="F17" s="60"/>
    </row>
    <row r="18" spans="2:12" ht="30">
      <c r="B18" s="49" t="s">
        <v>4347</v>
      </c>
      <c r="C18" s="41" t="s">
        <v>2887</v>
      </c>
      <c r="D18" s="60"/>
      <c r="E18" s="60"/>
      <c r="F18" s="60"/>
    </row>
    <row r="19" spans="2:12">
      <c r="B19" s="49" t="s">
        <v>4348</v>
      </c>
      <c r="C19" s="41" t="s">
        <v>2889</v>
      </c>
      <c r="D19" s="60"/>
      <c r="E19" s="60"/>
      <c r="F19" s="60"/>
    </row>
    <row r="20" spans="2:12">
      <c r="B20" s="49" t="s">
        <v>4349</v>
      </c>
      <c r="C20" s="41" t="s">
        <v>3078</v>
      </c>
      <c r="D20" s="60"/>
      <c r="E20" s="60"/>
      <c r="F20" s="60"/>
    </row>
    <row r="21" spans="2:12">
      <c r="B21" s="49" t="s">
        <v>4350</v>
      </c>
      <c r="C21" s="41" t="s">
        <v>2891</v>
      </c>
      <c r="D21" s="60"/>
      <c r="E21" s="60"/>
      <c r="F21" s="60"/>
    </row>
    <row r="22" spans="2:12">
      <c r="B22" s="49" t="s">
        <v>4351</v>
      </c>
      <c r="C22" s="41" t="s">
        <v>2893</v>
      </c>
      <c r="D22" s="60"/>
      <c r="E22" s="60"/>
      <c r="F22" s="60"/>
    </row>
    <row r="23" spans="2:12">
      <c r="B23" s="49" t="s">
        <v>5662</v>
      </c>
      <c r="C23" s="41" t="s">
        <v>2895</v>
      </c>
      <c r="D23" s="60"/>
      <c r="E23" s="60"/>
      <c r="F23" s="60"/>
    </row>
    <row r="24" spans="2:12">
      <c r="B24" s="49" t="s">
        <v>3309</v>
      </c>
      <c r="C24" s="41" t="s">
        <v>2897</v>
      </c>
      <c r="D24" s="60"/>
      <c r="E24" s="60"/>
      <c r="F24" s="60"/>
    </row>
    <row r="25" spans="2:12">
      <c r="B25" s="49" t="s">
        <v>4353</v>
      </c>
      <c r="C25" s="41" t="s">
        <v>2899</v>
      </c>
      <c r="D25" s="60"/>
      <c r="E25" s="60"/>
      <c r="F25" s="60"/>
    </row>
    <row r="26" spans="2:12" ht="30">
      <c r="B26" s="49" t="s">
        <v>4354</v>
      </c>
      <c r="C26" s="41" t="s">
        <v>2901</v>
      </c>
      <c r="D26" s="60"/>
      <c r="E26" s="60"/>
      <c r="F26" s="60"/>
    </row>
    <row r="27" spans="2:12">
      <c r="B27" s="49" t="s">
        <v>5663</v>
      </c>
      <c r="C27" s="41" t="s">
        <v>2903</v>
      </c>
      <c r="D27" s="60"/>
      <c r="E27" s="60"/>
      <c r="F27" s="60"/>
    </row>
    <row r="29" spans="2:12">
      <c r="K29" s="13" t="str">
        <f>Show!$B$161&amp;Show!$B$161&amp;"S.29.01.01.01 Rows {"&amp;COLUMN($C$1)&amp;"}"</f>
        <v>!!S.29.01.01.01 Rows {3}</v>
      </c>
      <c r="L29" s="13" t="str">
        <f>Show!$B$161&amp;Show!$B$161&amp;"S.29.01.01.01 Columns {"&amp;COLUMN($F$1)&amp;"}"</f>
        <v>!!S.29.01.01.01 Columns {6}</v>
      </c>
    </row>
    <row r="31" spans="2:12" ht="18.75">
      <c r="B31" s="88" t="s">
        <v>5664</v>
      </c>
      <c r="C31" s="87"/>
      <c r="D31" s="87"/>
      <c r="E31" s="87"/>
      <c r="F31" s="87"/>
      <c r="G31" s="87"/>
      <c r="H31" s="87"/>
      <c r="I31" s="87"/>
      <c r="J31" s="87"/>
      <c r="K31" s="87"/>
      <c r="L31" s="87"/>
    </row>
    <row r="35" spans="2:12">
      <c r="D35" s="89" t="s">
        <v>2877</v>
      </c>
    </row>
    <row r="36" spans="2:12">
      <c r="D36" s="91"/>
    </row>
    <row r="37" spans="2:12">
      <c r="D37" s="89" t="s">
        <v>5661</v>
      </c>
    </row>
    <row r="38" spans="2:12">
      <c r="D38" s="91"/>
    </row>
    <row r="39" spans="2:12">
      <c r="D39" s="45" t="s">
        <v>3225</v>
      </c>
      <c r="K39" s="13" t="str">
        <f>Show!$B$161&amp;"S.29.01.01.02 Rows {"&amp;COLUMN($C$1)&amp;"}"&amp;"@ForceFilingCode:true"</f>
        <v>!S.29.01.01.02 Rows {3}@ForceFilingCode:true</v>
      </c>
      <c r="L39" s="13" t="str">
        <f>Show!$B$161&amp;"S.29.01.01.02 Columns {"&amp;COLUMN($D$1)&amp;"}"</f>
        <v>!S.29.01.01.02 Columns {4}</v>
      </c>
    </row>
    <row r="40" spans="2:12">
      <c r="B40" s="43" t="s">
        <v>2880</v>
      </c>
      <c r="C40" s="44" t="s">
        <v>2878</v>
      </c>
      <c r="D40" s="48"/>
    </row>
    <row r="41" spans="2:12">
      <c r="B41" s="47" t="s">
        <v>5665</v>
      </c>
      <c r="C41" s="44" t="s">
        <v>2878</v>
      </c>
      <c r="D41" s="46"/>
    </row>
    <row r="42" spans="2:12" ht="30">
      <c r="B42" s="49" t="s">
        <v>5666</v>
      </c>
      <c r="C42" s="41" t="s">
        <v>2905</v>
      </c>
      <c r="D42" s="60"/>
    </row>
    <row r="43" spans="2:12">
      <c r="B43" s="49" t="s">
        <v>5667</v>
      </c>
      <c r="C43" s="41" t="s">
        <v>2907</v>
      </c>
      <c r="D43" s="60"/>
    </row>
    <row r="44" spans="2:12">
      <c r="B44" s="49" t="s">
        <v>4379</v>
      </c>
      <c r="C44" s="41" t="s">
        <v>2909</v>
      </c>
      <c r="D44" s="60"/>
    </row>
    <row r="45" spans="2:12">
      <c r="B45" s="49" t="s">
        <v>4380</v>
      </c>
      <c r="C45" s="41" t="s">
        <v>2911</v>
      </c>
      <c r="D45" s="60"/>
    </row>
    <row r="46" spans="2:12">
      <c r="B46" s="49" t="s">
        <v>5668</v>
      </c>
      <c r="C46" s="41" t="s">
        <v>2913</v>
      </c>
      <c r="D46" s="60"/>
    </row>
    <row r="47" spans="2:12">
      <c r="B47" s="49" t="s">
        <v>5669</v>
      </c>
      <c r="C47" s="41" t="s">
        <v>2915</v>
      </c>
      <c r="D47" s="63"/>
    </row>
    <row r="48" spans="2:12">
      <c r="B48" s="47" t="s">
        <v>5670</v>
      </c>
      <c r="C48" s="44" t="s">
        <v>2878</v>
      </c>
      <c r="D48" s="46"/>
    </row>
    <row r="49" spans="2:12">
      <c r="B49" s="49" t="s">
        <v>5671</v>
      </c>
      <c r="C49" s="41" t="s">
        <v>2917</v>
      </c>
      <c r="D49" s="60"/>
    </row>
    <row r="50" spans="2:12">
      <c r="B50" s="49" t="s">
        <v>5672</v>
      </c>
      <c r="C50" s="41" t="s">
        <v>2919</v>
      </c>
      <c r="D50" s="60"/>
    </row>
    <row r="51" spans="2:12">
      <c r="B51" s="49" t="s">
        <v>5673</v>
      </c>
      <c r="C51" s="41" t="s">
        <v>2921</v>
      </c>
      <c r="D51" s="60"/>
    </row>
    <row r="52" spans="2:12">
      <c r="B52" s="49" t="s">
        <v>5674</v>
      </c>
      <c r="C52" s="41" t="s">
        <v>2923</v>
      </c>
      <c r="D52" s="60"/>
    </row>
    <row r="53" spans="2:12">
      <c r="B53" s="49" t="s">
        <v>5675</v>
      </c>
      <c r="C53" s="41" t="s">
        <v>2925</v>
      </c>
      <c r="D53" s="60"/>
    </row>
    <row r="54" spans="2:12">
      <c r="B54" s="49" t="s">
        <v>5676</v>
      </c>
      <c r="C54" s="41" t="s">
        <v>2927</v>
      </c>
      <c r="D54" s="60"/>
    </row>
    <row r="55" spans="2:12">
      <c r="B55" s="49" t="s">
        <v>5677</v>
      </c>
      <c r="C55" s="41" t="s">
        <v>2929</v>
      </c>
      <c r="D55" s="60"/>
    </row>
    <row r="57" spans="2:12">
      <c r="K57" s="13" t="str">
        <f>Show!$B$161&amp;Show!$B$161&amp;"S.29.01.01.02 Rows {"&amp;COLUMN($C$1)&amp;"}"</f>
        <v>!!S.29.01.01.02 Rows {3}</v>
      </c>
      <c r="L57" s="13" t="str">
        <f>Show!$B$161&amp;Show!$B$161&amp;"S.29.01.01.02 Columns {"&amp;COLUMN($D$1)&amp;"}"</f>
        <v>!!S.29.01.01.02 Columns {4}</v>
      </c>
    </row>
  </sheetData>
  <sheetProtection sheet="1" objects="1" scenarios="1"/>
  <mergeCells count="9">
    <mergeCell ref="B31:L31"/>
    <mergeCell ref="D35:D36"/>
    <mergeCell ref="D37:D38"/>
    <mergeCell ref="B2:O2"/>
    <mergeCell ref="B5:L5"/>
    <mergeCell ref="D9:F10"/>
    <mergeCell ref="D11:D12"/>
    <mergeCell ref="E11:E12"/>
    <mergeCell ref="F11:F12"/>
  </mergeCells>
  <pageMargins left="0.7" right="0.7" top="0.75" bottom="0.75" header="0.3" footer="0.3"/>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CCCCA-1049-48A7-B964-1891A2B7FD9A}">
  <sheetPr codeName="Blad166"/>
  <dimension ref="B2:O31"/>
  <sheetViews>
    <sheetView showGridLines="0" workbookViewId="0"/>
  </sheetViews>
  <sheetFormatPr defaultRowHeight="15"/>
  <cols>
    <col min="2" max="2" width="78.7109375" bestFit="1" customWidth="1"/>
    <col min="4" max="4" width="15.7109375" customWidth="1"/>
  </cols>
  <sheetData>
    <row r="2" spans="2:15" ht="23.25">
      <c r="B2" s="86" t="s">
        <v>752</v>
      </c>
      <c r="C2" s="87"/>
      <c r="D2" s="87"/>
      <c r="E2" s="87"/>
      <c r="F2" s="87"/>
      <c r="G2" s="87"/>
      <c r="H2" s="87"/>
      <c r="I2" s="87"/>
      <c r="J2" s="87"/>
      <c r="K2" s="87"/>
      <c r="L2" s="87"/>
      <c r="M2" s="87"/>
      <c r="N2" s="87"/>
      <c r="O2" s="87"/>
    </row>
    <row r="5" spans="2:15" ht="18.75">
      <c r="B5" s="88" t="s">
        <v>5678</v>
      </c>
      <c r="C5" s="87"/>
      <c r="D5" s="87"/>
      <c r="E5" s="87"/>
      <c r="F5" s="87"/>
      <c r="G5" s="87"/>
      <c r="H5" s="87"/>
      <c r="I5" s="87"/>
      <c r="J5" s="87"/>
      <c r="K5" s="87"/>
      <c r="L5" s="87"/>
    </row>
    <row r="9" spans="2:15">
      <c r="D9" s="89" t="s">
        <v>2877</v>
      </c>
    </row>
    <row r="10" spans="2:15">
      <c r="D10" s="91"/>
    </row>
    <row r="11" spans="2:15">
      <c r="D11" s="89" t="s">
        <v>5661</v>
      </c>
    </row>
    <row r="12" spans="2:15">
      <c r="D12" s="91"/>
    </row>
    <row r="13" spans="2:15">
      <c r="D13" s="45" t="s">
        <v>3225</v>
      </c>
      <c r="I13" s="13" t="str">
        <f>Show!$B$162&amp;"S.29.01.07.01 Rows {"&amp;COLUMN($C$1)&amp;"}"&amp;"@ForceFilingCode:true"</f>
        <v>!S.29.01.07.01 Rows {3}@ForceFilingCode:true</v>
      </c>
      <c r="J13" s="13" t="str">
        <f>Show!$B$162&amp;"S.29.01.07.01 Columns {"&amp;COLUMN($D$1)&amp;"}"</f>
        <v>!S.29.01.07.01 Columns {4}</v>
      </c>
    </row>
    <row r="14" spans="2:15">
      <c r="B14" s="43" t="s">
        <v>2880</v>
      </c>
      <c r="C14" s="44" t="s">
        <v>2878</v>
      </c>
      <c r="D14" s="48"/>
    </row>
    <row r="15" spans="2:15">
      <c r="B15" s="47" t="s">
        <v>5665</v>
      </c>
      <c r="C15" s="44" t="s">
        <v>2878</v>
      </c>
      <c r="D15" s="46"/>
    </row>
    <row r="16" spans="2:15" ht="30">
      <c r="B16" s="49" t="s">
        <v>5666</v>
      </c>
      <c r="C16" s="41" t="s">
        <v>2905</v>
      </c>
      <c r="D16" s="60"/>
    </row>
    <row r="17" spans="2:10">
      <c r="B17" s="49" t="s">
        <v>5667</v>
      </c>
      <c r="C17" s="41" t="s">
        <v>2907</v>
      </c>
      <c r="D17" s="60"/>
    </row>
    <row r="18" spans="2:10">
      <c r="B18" s="49" t="s">
        <v>4379</v>
      </c>
      <c r="C18" s="41" t="s">
        <v>2909</v>
      </c>
      <c r="D18" s="60"/>
    </row>
    <row r="19" spans="2:10">
      <c r="B19" s="49" t="s">
        <v>4380</v>
      </c>
      <c r="C19" s="41" t="s">
        <v>2911</v>
      </c>
      <c r="D19" s="60"/>
    </row>
    <row r="20" spans="2:10">
      <c r="B20" s="49" t="s">
        <v>5668</v>
      </c>
      <c r="C20" s="41" t="s">
        <v>2913</v>
      </c>
      <c r="D20" s="60"/>
    </row>
    <row r="21" spans="2:10">
      <c r="B21" s="49" t="s">
        <v>5669</v>
      </c>
      <c r="C21" s="41" t="s">
        <v>2915</v>
      </c>
      <c r="D21" s="63"/>
    </row>
    <row r="22" spans="2:10">
      <c r="B22" s="47" t="s">
        <v>5670</v>
      </c>
      <c r="C22" s="44" t="s">
        <v>2878</v>
      </c>
      <c r="D22" s="46"/>
    </row>
    <row r="23" spans="2:10">
      <c r="B23" s="49" t="s">
        <v>5671</v>
      </c>
      <c r="C23" s="41" t="s">
        <v>2917</v>
      </c>
      <c r="D23" s="60"/>
    </row>
    <row r="24" spans="2:10">
      <c r="B24" s="49" t="s">
        <v>5672</v>
      </c>
      <c r="C24" s="41" t="s">
        <v>2919</v>
      </c>
      <c r="D24" s="60"/>
    </row>
    <row r="25" spans="2:10">
      <c r="B25" s="49" t="s">
        <v>5673</v>
      </c>
      <c r="C25" s="41" t="s">
        <v>2921</v>
      </c>
      <c r="D25" s="60"/>
    </row>
    <row r="26" spans="2:10">
      <c r="B26" s="49" t="s">
        <v>5674</v>
      </c>
      <c r="C26" s="41" t="s">
        <v>2923</v>
      </c>
      <c r="D26" s="60"/>
    </row>
    <row r="27" spans="2:10">
      <c r="B27" s="49" t="s">
        <v>5675</v>
      </c>
      <c r="C27" s="41" t="s">
        <v>2925</v>
      </c>
      <c r="D27" s="60"/>
    </row>
    <row r="28" spans="2:10">
      <c r="B28" s="49" t="s">
        <v>5676</v>
      </c>
      <c r="C28" s="41" t="s">
        <v>2927</v>
      </c>
      <c r="D28" s="60"/>
    </row>
    <row r="29" spans="2:10">
      <c r="B29" s="49" t="s">
        <v>5677</v>
      </c>
      <c r="C29" s="41" t="s">
        <v>2929</v>
      </c>
      <c r="D29" s="60"/>
    </row>
    <row r="31" spans="2:10">
      <c r="I31" s="13" t="str">
        <f>Show!$B$162&amp;Show!$B$162&amp;"S.29.01.07.01 Rows {"&amp;COLUMN($C$1)&amp;"}"</f>
        <v>!!S.29.01.07.01 Rows {3}</v>
      </c>
      <c r="J31" s="13" t="str">
        <f>Show!$B$162&amp;Show!$B$162&amp;"S.29.01.07.01 Columns {"&amp;COLUMN($D$1)&amp;"}"</f>
        <v>!!S.29.01.07.01 Columns {4}</v>
      </c>
    </row>
  </sheetData>
  <sheetProtection sheet="1" objects="1" scenarios="1"/>
  <mergeCells count="4">
    <mergeCell ref="B2:O2"/>
    <mergeCell ref="B5:L5"/>
    <mergeCell ref="D9:D10"/>
    <mergeCell ref="D11:D12"/>
  </mergeCells>
  <pageMargins left="0.7" right="0.7" top="0.75" bottom="0.75" header="0.3" footer="0.3"/>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ABD12-39F2-420E-893E-F622265FEAD2}">
  <sheetPr codeName="Blad167"/>
  <dimension ref="B2:O29"/>
  <sheetViews>
    <sheetView showGridLines="0" workbookViewId="0"/>
  </sheetViews>
  <sheetFormatPr defaultRowHeight="15"/>
  <cols>
    <col min="2" max="2" width="81.7109375" bestFit="1" customWidth="1"/>
    <col min="4" max="4" width="15.7109375" customWidth="1"/>
  </cols>
  <sheetData>
    <row r="2" spans="2:15" ht="23.25">
      <c r="B2" s="86" t="s">
        <v>754</v>
      </c>
      <c r="C2" s="87"/>
      <c r="D2" s="87"/>
      <c r="E2" s="87"/>
      <c r="F2" s="87"/>
      <c r="G2" s="87"/>
      <c r="H2" s="87"/>
      <c r="I2" s="87"/>
      <c r="J2" s="87"/>
      <c r="K2" s="87"/>
      <c r="L2" s="87"/>
      <c r="M2" s="87"/>
      <c r="N2" s="87"/>
      <c r="O2" s="87"/>
    </row>
    <row r="5" spans="2:15" ht="18.75">
      <c r="B5" s="88" t="s">
        <v>5679</v>
      </c>
      <c r="C5" s="87"/>
      <c r="D5" s="87"/>
      <c r="E5" s="87"/>
      <c r="F5" s="87"/>
      <c r="G5" s="87"/>
      <c r="H5" s="87"/>
      <c r="I5" s="87"/>
      <c r="J5" s="87"/>
      <c r="K5" s="87"/>
      <c r="L5" s="87"/>
    </row>
    <row r="9" spans="2:15">
      <c r="D9" s="89" t="s">
        <v>2877</v>
      </c>
    </row>
    <row r="10" spans="2:15">
      <c r="D10" s="91"/>
    </row>
    <row r="11" spans="2:15">
      <c r="D11" s="89" t="s">
        <v>4635</v>
      </c>
    </row>
    <row r="12" spans="2:15">
      <c r="D12" s="91"/>
    </row>
    <row r="13" spans="2:15">
      <c r="D13" s="45" t="s">
        <v>2879</v>
      </c>
      <c r="I13" s="13" t="str">
        <f>Show!$B$163&amp;"S.29.02.01.01 Rows {"&amp;COLUMN($C$1)&amp;"}"&amp;"@ForceFilingCode:true"</f>
        <v>!S.29.02.01.01 Rows {3}@ForceFilingCode:true</v>
      </c>
      <c r="J13" s="13" t="str">
        <f>Show!$B$163&amp;"S.29.02.01.01 Columns {"&amp;COLUMN($D$1)&amp;"}"</f>
        <v>!S.29.02.01.01 Columns {4}</v>
      </c>
    </row>
    <row r="14" spans="2:15">
      <c r="B14" s="43" t="s">
        <v>2880</v>
      </c>
      <c r="C14" s="44" t="s">
        <v>2878</v>
      </c>
      <c r="D14" s="48"/>
    </row>
    <row r="15" spans="2:15">
      <c r="B15" s="47" t="s">
        <v>5680</v>
      </c>
      <c r="C15" s="44" t="s">
        <v>2878</v>
      </c>
      <c r="D15" s="46"/>
    </row>
    <row r="16" spans="2:15">
      <c r="B16" s="49" t="s">
        <v>5681</v>
      </c>
      <c r="C16" s="41" t="s">
        <v>2883</v>
      </c>
      <c r="D16" s="60"/>
    </row>
    <row r="17" spans="2:10">
      <c r="B17" s="49" t="s">
        <v>5682</v>
      </c>
      <c r="C17" s="41" t="s">
        <v>2885</v>
      </c>
      <c r="D17" s="60"/>
    </row>
    <row r="18" spans="2:10">
      <c r="B18" s="49" t="s">
        <v>5683</v>
      </c>
      <c r="C18" s="41" t="s">
        <v>2887</v>
      </c>
      <c r="D18" s="63"/>
    </row>
    <row r="19" spans="2:10" ht="30">
      <c r="B19" s="47" t="s">
        <v>5684</v>
      </c>
      <c r="C19" s="44" t="s">
        <v>2878</v>
      </c>
      <c r="D19" s="46"/>
    </row>
    <row r="20" spans="2:10">
      <c r="B20" s="49" t="s">
        <v>5685</v>
      </c>
      <c r="C20" s="41" t="s">
        <v>2889</v>
      </c>
      <c r="D20" s="60"/>
    </row>
    <row r="21" spans="2:10">
      <c r="B21" s="49" t="s">
        <v>5686</v>
      </c>
      <c r="C21" s="41" t="s">
        <v>3078</v>
      </c>
      <c r="D21" s="60"/>
    </row>
    <row r="22" spans="2:10" ht="30">
      <c r="B22" s="47" t="s">
        <v>5687</v>
      </c>
      <c r="C22" s="41" t="s">
        <v>2891</v>
      </c>
      <c r="D22" s="63"/>
    </row>
    <row r="23" spans="2:10">
      <c r="B23" s="47" t="s">
        <v>5688</v>
      </c>
      <c r="C23" s="44" t="s">
        <v>2878</v>
      </c>
      <c r="D23" s="46"/>
    </row>
    <row r="24" spans="2:10">
      <c r="B24" s="49" t="s">
        <v>3715</v>
      </c>
      <c r="C24" s="41" t="s">
        <v>2893</v>
      </c>
      <c r="D24" s="60"/>
    </row>
    <row r="25" spans="2:10">
      <c r="B25" s="49" t="s">
        <v>5689</v>
      </c>
      <c r="C25" s="41" t="s">
        <v>2895</v>
      </c>
      <c r="D25" s="60"/>
    </row>
    <row r="26" spans="2:10">
      <c r="B26" s="49" t="s">
        <v>5690</v>
      </c>
      <c r="C26" s="41" t="s">
        <v>2897</v>
      </c>
      <c r="D26" s="60"/>
    </row>
    <row r="27" spans="2:10">
      <c r="B27" s="49" t="s">
        <v>2488</v>
      </c>
      <c r="C27" s="41" t="s">
        <v>2899</v>
      </c>
      <c r="D27" s="60"/>
    </row>
    <row r="29" spans="2:10">
      <c r="I29" s="13" t="str">
        <f>Show!$B$163&amp;Show!$B$163&amp;"S.29.02.01.01 Rows {"&amp;COLUMN($C$1)&amp;"}"</f>
        <v>!!S.29.02.01.01 Rows {3}</v>
      </c>
      <c r="J29" s="13" t="str">
        <f>Show!$B$163&amp;Show!$B$163&amp;"S.29.02.01.01 Columns {"&amp;COLUMN($D$1)&amp;"}"</f>
        <v>!!S.29.02.01.01 Columns {4}</v>
      </c>
    </row>
  </sheetData>
  <sheetProtection sheet="1" objects="1" scenarios="1"/>
  <mergeCells count="4">
    <mergeCell ref="B2:O2"/>
    <mergeCell ref="B5:L5"/>
    <mergeCell ref="D9:D10"/>
    <mergeCell ref="D11:D12"/>
  </mergeCells>
  <pageMargins left="0.7" right="0.7" top="0.75" bottom="0.75" header="0.3" footer="0.3"/>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85585-294E-4A3C-892B-C2DBAEF46B41}">
  <sheetPr codeName="Blad168"/>
  <dimension ref="B2:O124"/>
  <sheetViews>
    <sheetView showGridLines="0" workbookViewId="0"/>
  </sheetViews>
  <sheetFormatPr defaultRowHeight="15"/>
  <cols>
    <col min="2" max="2" width="85.85546875" bestFit="1" customWidth="1"/>
    <col min="4" max="5" width="15.7109375" customWidth="1"/>
  </cols>
  <sheetData>
    <row r="2" spans="2:15" ht="23.25">
      <c r="B2" s="86" t="s">
        <v>756</v>
      </c>
      <c r="C2" s="87"/>
      <c r="D2" s="87"/>
      <c r="E2" s="87"/>
      <c r="F2" s="87"/>
      <c r="G2" s="87"/>
      <c r="H2" s="87"/>
      <c r="I2" s="87"/>
      <c r="J2" s="87"/>
      <c r="K2" s="87"/>
      <c r="L2" s="87"/>
      <c r="M2" s="87"/>
      <c r="N2" s="87"/>
      <c r="O2" s="87"/>
    </row>
    <row r="5" spans="2:15" ht="18.75">
      <c r="B5" s="88" t="s">
        <v>5691</v>
      </c>
      <c r="C5" s="87"/>
      <c r="D5" s="87"/>
      <c r="E5" s="87"/>
      <c r="F5" s="87"/>
      <c r="G5" s="87"/>
      <c r="H5" s="87"/>
      <c r="I5" s="87"/>
      <c r="J5" s="87"/>
      <c r="K5" s="87"/>
      <c r="L5" s="87"/>
    </row>
    <row r="9" spans="2:15">
      <c r="D9" s="92" t="s">
        <v>2877</v>
      </c>
      <c r="E9" s="94"/>
    </row>
    <row r="10" spans="2:15">
      <c r="D10" s="95"/>
      <c r="E10" s="97"/>
    </row>
    <row r="11" spans="2:15" ht="30">
      <c r="D11" s="55" t="s">
        <v>5692</v>
      </c>
      <c r="E11" s="55" t="s">
        <v>5693</v>
      </c>
    </row>
    <row r="12" spans="2:15">
      <c r="D12" s="45" t="s">
        <v>2879</v>
      </c>
      <c r="E12" s="45" t="s">
        <v>3219</v>
      </c>
      <c r="J12" s="13" t="str">
        <f>Show!$B$164&amp;"S.29.03.01.01 Rows {"&amp;COLUMN($C$1)&amp;"}"&amp;"@ForceFilingCode:true"</f>
        <v>!S.29.03.01.01 Rows {3}@ForceFilingCode:true</v>
      </c>
      <c r="K12" s="13" t="str">
        <f>Show!$B$164&amp;"S.29.03.01.01 Columns {"&amp;COLUMN($D$1)&amp;"}"</f>
        <v>!S.29.03.01.01 Columns {4}</v>
      </c>
    </row>
    <row r="13" spans="2:15">
      <c r="B13" s="43" t="s">
        <v>2880</v>
      </c>
      <c r="C13" s="44" t="s">
        <v>2878</v>
      </c>
      <c r="D13" s="56"/>
      <c r="E13" s="57"/>
    </row>
    <row r="14" spans="2:15">
      <c r="B14" s="47" t="s">
        <v>5694</v>
      </c>
      <c r="C14" s="41" t="s">
        <v>2883</v>
      </c>
      <c r="D14" s="60"/>
      <c r="E14" s="60"/>
    </row>
    <row r="15" spans="2:15">
      <c r="B15" s="47" t="s">
        <v>5695</v>
      </c>
      <c r="C15" s="41" t="s">
        <v>2885</v>
      </c>
      <c r="D15" s="60"/>
      <c r="E15" s="60"/>
    </row>
    <row r="16" spans="2:15">
      <c r="B16" s="47" t="s">
        <v>5696</v>
      </c>
      <c r="C16" s="41" t="s">
        <v>2887</v>
      </c>
      <c r="D16" s="60"/>
      <c r="E16" s="60"/>
    </row>
    <row r="17" spans="2:12">
      <c r="B17" s="47" t="s">
        <v>5697</v>
      </c>
      <c r="C17" s="41" t="s">
        <v>2889</v>
      </c>
      <c r="D17" s="60"/>
      <c r="E17" s="60"/>
    </row>
    <row r="18" spans="2:12">
      <c r="B18" s="47" t="s">
        <v>5698</v>
      </c>
      <c r="C18" s="41" t="s">
        <v>3078</v>
      </c>
      <c r="D18" s="60"/>
      <c r="E18" s="60"/>
    </row>
    <row r="19" spans="2:12" ht="30">
      <c r="B19" s="47" t="s">
        <v>5699</v>
      </c>
      <c r="C19" s="41" t="s">
        <v>2891</v>
      </c>
      <c r="D19" s="60"/>
      <c r="E19" s="60"/>
    </row>
    <row r="20" spans="2:12" ht="30">
      <c r="B20" s="47" t="s">
        <v>5700</v>
      </c>
      <c r="C20" s="41" t="s">
        <v>2893</v>
      </c>
      <c r="D20" s="60"/>
      <c r="E20" s="60"/>
    </row>
    <row r="21" spans="2:12">
      <c r="B21" s="47" t="s">
        <v>5701</v>
      </c>
      <c r="C21" s="41" t="s">
        <v>2895</v>
      </c>
      <c r="D21" s="60"/>
      <c r="E21" s="60"/>
    </row>
    <row r="22" spans="2:12" ht="30">
      <c r="B22" s="47" t="s">
        <v>5702</v>
      </c>
      <c r="C22" s="41" t="s">
        <v>2897</v>
      </c>
      <c r="D22" s="60"/>
      <c r="E22" s="60"/>
    </row>
    <row r="23" spans="2:12" ht="30">
      <c r="B23" s="47" t="s">
        <v>5703</v>
      </c>
      <c r="C23" s="41" t="s">
        <v>2899</v>
      </c>
      <c r="D23" s="60"/>
      <c r="E23" s="60"/>
    </row>
    <row r="24" spans="2:12">
      <c r="B24" s="47" t="s">
        <v>5704</v>
      </c>
      <c r="C24" s="41" t="s">
        <v>2901</v>
      </c>
      <c r="D24" s="60"/>
      <c r="E24" s="60"/>
    </row>
    <row r="25" spans="2:12">
      <c r="B25" s="47" t="s">
        <v>5705</v>
      </c>
      <c r="C25" s="41" t="s">
        <v>2903</v>
      </c>
      <c r="D25" s="60"/>
      <c r="E25" s="60"/>
    </row>
    <row r="27" spans="2:12">
      <c r="J27" s="13" t="str">
        <f>Show!$B$164&amp;Show!$B$164&amp;"S.29.03.01.01 Rows {"&amp;COLUMN($C$1)&amp;"}"</f>
        <v>!!S.29.03.01.01 Rows {3}</v>
      </c>
      <c r="K27" s="13" t="str">
        <f>Show!$B$164&amp;Show!$B$164&amp;"S.29.03.01.01 Columns {"&amp;COLUMN($E$1)&amp;"}"</f>
        <v>!!S.29.03.01.01 Columns {5}</v>
      </c>
    </row>
    <row r="29" spans="2:12" ht="18.75">
      <c r="B29" s="88" t="s">
        <v>5706</v>
      </c>
      <c r="C29" s="87"/>
      <c r="D29" s="87"/>
      <c r="E29" s="87"/>
      <c r="F29" s="87"/>
      <c r="G29" s="87"/>
      <c r="H29" s="87"/>
      <c r="I29" s="87"/>
      <c r="J29" s="87"/>
      <c r="K29" s="87"/>
      <c r="L29" s="87"/>
    </row>
    <row r="33" spans="2:12">
      <c r="D33" s="92" t="s">
        <v>2877</v>
      </c>
      <c r="E33" s="94"/>
    </row>
    <row r="34" spans="2:12">
      <c r="D34" s="95"/>
      <c r="E34" s="97"/>
    </row>
    <row r="35" spans="2:12" ht="45">
      <c r="D35" s="55" t="s">
        <v>5707</v>
      </c>
      <c r="E35" s="55" t="s">
        <v>5708</v>
      </c>
    </row>
    <row r="36" spans="2:12">
      <c r="D36" s="45" t="s">
        <v>3225</v>
      </c>
      <c r="E36" s="45" t="s">
        <v>3223</v>
      </c>
      <c r="J36" s="13" t="str">
        <f>Show!$B$164&amp;"S.29.03.01.02 Rows {"&amp;COLUMN($C$1)&amp;"}"&amp;"@ForceFilingCode:true"</f>
        <v>!S.29.03.01.02 Rows {3}@ForceFilingCode:true</v>
      </c>
      <c r="K36" s="13" t="str">
        <f>Show!$B$164&amp;"S.29.03.01.02 Columns {"&amp;COLUMN($D$1)&amp;"}"</f>
        <v>!S.29.03.01.02 Columns {4}</v>
      </c>
    </row>
    <row r="37" spans="2:12">
      <c r="B37" s="43" t="s">
        <v>2880</v>
      </c>
      <c r="C37" s="44" t="s">
        <v>2878</v>
      </c>
      <c r="D37" s="56"/>
      <c r="E37" s="57"/>
    </row>
    <row r="38" spans="2:12">
      <c r="B38" s="47" t="s">
        <v>5694</v>
      </c>
      <c r="C38" s="41" t="s">
        <v>2905</v>
      </c>
      <c r="D38" s="60"/>
      <c r="E38" s="60"/>
    </row>
    <row r="39" spans="2:12">
      <c r="B39" s="47" t="s">
        <v>5705</v>
      </c>
      <c r="C39" s="41" t="s">
        <v>2907</v>
      </c>
      <c r="D39" s="60"/>
      <c r="E39" s="60"/>
    </row>
    <row r="41" spans="2:12">
      <c r="J41" s="13" t="str">
        <f>Show!$B$164&amp;Show!$B$164&amp;"S.29.03.01.02 Rows {"&amp;COLUMN($C$1)&amp;"}"</f>
        <v>!!S.29.03.01.02 Rows {3}</v>
      </c>
      <c r="K41" s="13" t="str">
        <f>Show!$B$164&amp;Show!$B$164&amp;"S.29.03.01.02 Columns {"&amp;COLUMN($E$1)&amp;"}"</f>
        <v>!!S.29.03.01.02 Columns {5}</v>
      </c>
    </row>
    <row r="43" spans="2:12" ht="18.75">
      <c r="B43" s="88" t="s">
        <v>5709</v>
      </c>
      <c r="C43" s="87"/>
      <c r="D43" s="87"/>
      <c r="E43" s="87"/>
      <c r="F43" s="87"/>
      <c r="G43" s="87"/>
      <c r="H43" s="87"/>
      <c r="I43" s="87"/>
      <c r="J43" s="87"/>
      <c r="K43" s="87"/>
      <c r="L43" s="87"/>
    </row>
    <row r="47" spans="2:12">
      <c r="D47" s="92" t="s">
        <v>2877</v>
      </c>
      <c r="E47" s="94"/>
    </row>
    <row r="48" spans="2:12">
      <c r="D48" s="95"/>
      <c r="E48" s="97"/>
    </row>
    <row r="49" spans="2:11" ht="30">
      <c r="D49" s="55" t="s">
        <v>5692</v>
      </c>
      <c r="E49" s="55" t="s">
        <v>5693</v>
      </c>
    </row>
    <row r="50" spans="2:11">
      <c r="D50" s="45" t="s">
        <v>3229</v>
      </c>
      <c r="E50" s="45" t="s">
        <v>3231</v>
      </c>
      <c r="J50" s="13" t="str">
        <f>Show!$B$164&amp;"S.29.03.01.03 Rows {"&amp;COLUMN($C$1)&amp;"}"&amp;"@ForceFilingCode:true"</f>
        <v>!S.29.03.01.03 Rows {3}@ForceFilingCode:true</v>
      </c>
      <c r="K50" s="13" t="str">
        <f>Show!$B$164&amp;"S.29.03.01.03 Columns {"&amp;COLUMN($D$1)&amp;"}"</f>
        <v>!S.29.03.01.03 Columns {4}</v>
      </c>
    </row>
    <row r="51" spans="2:11">
      <c r="B51" s="43" t="s">
        <v>2880</v>
      </c>
      <c r="C51" s="44" t="s">
        <v>2878</v>
      </c>
      <c r="D51" s="56"/>
      <c r="E51" s="57"/>
    </row>
    <row r="52" spans="2:11">
      <c r="B52" s="47" t="s">
        <v>5694</v>
      </c>
      <c r="C52" s="41" t="s">
        <v>2909</v>
      </c>
      <c r="D52" s="60"/>
      <c r="E52" s="60"/>
    </row>
    <row r="53" spans="2:11">
      <c r="B53" s="47" t="s">
        <v>5695</v>
      </c>
      <c r="C53" s="41" t="s">
        <v>2911</v>
      </c>
      <c r="D53" s="60"/>
      <c r="E53" s="60"/>
    </row>
    <row r="54" spans="2:11">
      <c r="B54" s="47" t="s">
        <v>5696</v>
      </c>
      <c r="C54" s="41" t="s">
        <v>2913</v>
      </c>
      <c r="D54" s="60"/>
      <c r="E54" s="60"/>
    </row>
    <row r="55" spans="2:11">
      <c r="B55" s="47" t="s">
        <v>5697</v>
      </c>
      <c r="C55" s="41" t="s">
        <v>2915</v>
      </c>
      <c r="D55" s="60"/>
      <c r="E55" s="60"/>
    </row>
    <row r="56" spans="2:11">
      <c r="B56" s="47" t="s">
        <v>5710</v>
      </c>
      <c r="C56" s="41" t="s">
        <v>2917</v>
      </c>
      <c r="D56" s="60"/>
      <c r="E56" s="60"/>
    </row>
    <row r="57" spans="2:11">
      <c r="B57" s="47" t="s">
        <v>5711</v>
      </c>
      <c r="C57" s="41" t="s">
        <v>2919</v>
      </c>
      <c r="D57" s="60"/>
      <c r="E57" s="60"/>
    </row>
    <row r="58" spans="2:11">
      <c r="B58" s="47" t="s">
        <v>5712</v>
      </c>
      <c r="C58" s="41" t="s">
        <v>2921</v>
      </c>
      <c r="D58" s="60"/>
      <c r="E58" s="60"/>
    </row>
    <row r="59" spans="2:11" ht="30">
      <c r="B59" s="47" t="s">
        <v>5713</v>
      </c>
      <c r="C59" s="41" t="s">
        <v>2923</v>
      </c>
      <c r="D59" s="60"/>
      <c r="E59" s="60"/>
    </row>
    <row r="60" spans="2:11" ht="30">
      <c r="B60" s="47" t="s">
        <v>5714</v>
      </c>
      <c r="C60" s="41" t="s">
        <v>2925</v>
      </c>
      <c r="D60" s="60"/>
      <c r="E60" s="60"/>
    </row>
    <row r="61" spans="2:11" ht="30">
      <c r="B61" s="47" t="s">
        <v>5715</v>
      </c>
      <c r="C61" s="41" t="s">
        <v>2927</v>
      </c>
      <c r="D61" s="60"/>
      <c r="E61" s="60"/>
    </row>
    <row r="62" spans="2:11" ht="30">
      <c r="B62" s="47" t="s">
        <v>5716</v>
      </c>
      <c r="C62" s="41" t="s">
        <v>2929</v>
      </c>
      <c r="D62" s="60"/>
      <c r="E62" s="60"/>
    </row>
    <row r="63" spans="2:11">
      <c r="B63" s="47" t="s">
        <v>5704</v>
      </c>
      <c r="C63" s="41" t="s">
        <v>2931</v>
      </c>
      <c r="D63" s="60"/>
      <c r="E63" s="60"/>
    </row>
    <row r="64" spans="2:11">
      <c r="B64" s="47" t="s">
        <v>5705</v>
      </c>
      <c r="C64" s="41" t="s">
        <v>2933</v>
      </c>
      <c r="D64" s="60"/>
      <c r="E64" s="60"/>
    </row>
    <row r="66" spans="2:12">
      <c r="J66" s="13" t="str">
        <f>Show!$B$164&amp;Show!$B$164&amp;"S.29.03.01.03 Rows {"&amp;COLUMN($C$1)&amp;"}"</f>
        <v>!!S.29.03.01.03 Rows {3}</v>
      </c>
      <c r="K66" s="13" t="str">
        <f>Show!$B$164&amp;Show!$B$164&amp;"S.29.03.01.03 Columns {"&amp;COLUMN($E$1)&amp;"}"</f>
        <v>!!S.29.03.01.03 Columns {5}</v>
      </c>
    </row>
    <row r="68" spans="2:12" ht="18.75">
      <c r="B68" s="88" t="s">
        <v>5717</v>
      </c>
      <c r="C68" s="87"/>
      <c r="D68" s="87"/>
      <c r="E68" s="87"/>
      <c r="F68" s="87"/>
      <c r="G68" s="87"/>
      <c r="H68" s="87"/>
      <c r="I68" s="87"/>
      <c r="J68" s="87"/>
      <c r="K68" s="87"/>
      <c r="L68" s="87"/>
    </row>
    <row r="72" spans="2:12">
      <c r="D72" s="92" t="s">
        <v>2877</v>
      </c>
      <c r="E72" s="94"/>
    </row>
    <row r="73" spans="2:12">
      <c r="D73" s="95"/>
      <c r="E73" s="97"/>
    </row>
    <row r="74" spans="2:12" ht="45">
      <c r="D74" s="55" t="s">
        <v>5707</v>
      </c>
      <c r="E74" s="55" t="s">
        <v>5708</v>
      </c>
    </row>
    <row r="75" spans="2:12">
      <c r="D75" s="45" t="s">
        <v>3233</v>
      </c>
      <c r="E75" s="45" t="s">
        <v>3234</v>
      </c>
      <c r="J75" s="13" t="str">
        <f>Show!$B$164&amp;"S.29.03.01.04 Rows {"&amp;COLUMN($C$1)&amp;"}"&amp;"@ForceFilingCode:true"</f>
        <v>!S.29.03.01.04 Rows {3}@ForceFilingCode:true</v>
      </c>
      <c r="K75" s="13" t="str">
        <f>Show!$B$164&amp;"S.29.03.01.04 Columns {"&amp;COLUMN($D$1)&amp;"}"</f>
        <v>!S.29.03.01.04 Columns {4}</v>
      </c>
    </row>
    <row r="76" spans="2:12">
      <c r="B76" s="43" t="s">
        <v>2880</v>
      </c>
      <c r="C76" s="44" t="s">
        <v>2878</v>
      </c>
      <c r="D76" s="56"/>
      <c r="E76" s="57"/>
    </row>
    <row r="77" spans="2:12">
      <c r="B77" s="47" t="s">
        <v>5694</v>
      </c>
      <c r="C77" s="41" t="s">
        <v>2935</v>
      </c>
      <c r="D77" s="60"/>
      <c r="E77" s="60"/>
    </row>
    <row r="78" spans="2:12">
      <c r="B78" s="47" t="s">
        <v>5705</v>
      </c>
      <c r="C78" s="41" t="s">
        <v>2937</v>
      </c>
      <c r="D78" s="60"/>
      <c r="E78" s="60"/>
    </row>
    <row r="80" spans="2:12">
      <c r="J80" s="13" t="str">
        <f>Show!$B$164&amp;Show!$B$164&amp;"S.29.03.01.04 Rows {"&amp;COLUMN($C$1)&amp;"}"</f>
        <v>!!S.29.03.01.04 Rows {3}</v>
      </c>
      <c r="K80" s="13" t="str">
        <f>Show!$B$164&amp;Show!$B$164&amp;"S.29.03.01.04 Columns {"&amp;COLUMN($E$1)&amp;"}"</f>
        <v>!!S.29.03.01.04 Columns {5}</v>
      </c>
    </row>
    <row r="82" spans="2:12" ht="18.75">
      <c r="B82" s="88" t="s">
        <v>5718</v>
      </c>
      <c r="C82" s="87"/>
      <c r="D82" s="87"/>
      <c r="E82" s="87"/>
      <c r="F82" s="87"/>
      <c r="G82" s="87"/>
      <c r="H82" s="87"/>
      <c r="I82" s="87"/>
      <c r="J82" s="87"/>
      <c r="K82" s="87"/>
      <c r="L82" s="87"/>
    </row>
    <row r="86" spans="2:12">
      <c r="D86" s="89" t="s">
        <v>2877</v>
      </c>
    </row>
    <row r="87" spans="2:12">
      <c r="D87" s="91"/>
    </row>
    <row r="88" spans="2:12">
      <c r="D88" s="55" t="s">
        <v>5719</v>
      </c>
    </row>
    <row r="89" spans="2:12">
      <c r="D89" s="45" t="s">
        <v>3236</v>
      </c>
      <c r="J89" s="13" t="str">
        <f>Show!$B$164&amp;"S.29.03.01.05 Rows {"&amp;COLUMN($C$1)&amp;"}"&amp;"@ForceFilingCode:true"</f>
        <v>!S.29.03.01.05 Rows {3}@ForceFilingCode:true</v>
      </c>
      <c r="K89" s="13" t="str">
        <f>Show!$B$164&amp;"S.29.03.01.05 Columns {"&amp;COLUMN($D$1)&amp;"}"</f>
        <v>!S.29.03.01.05 Columns {4}</v>
      </c>
    </row>
    <row r="90" spans="2:12">
      <c r="B90" s="43" t="s">
        <v>2880</v>
      </c>
      <c r="C90" s="44" t="s">
        <v>2878</v>
      </c>
      <c r="D90" s="46"/>
    </row>
    <row r="91" spans="2:12">
      <c r="B91" s="47" t="s">
        <v>5720</v>
      </c>
      <c r="C91" s="41" t="s">
        <v>2939</v>
      </c>
      <c r="D91" s="60"/>
    </row>
    <row r="93" spans="2:12">
      <c r="J93" s="13" t="str">
        <f>Show!$B$164&amp;Show!$B$164&amp;"S.29.03.01.05 Rows {"&amp;COLUMN($C$1)&amp;"}"</f>
        <v>!!S.29.03.01.05 Rows {3}</v>
      </c>
      <c r="K93" s="13" t="str">
        <f>Show!$B$164&amp;Show!$B$164&amp;"S.29.03.01.05 Columns {"&amp;COLUMN($D$1)&amp;"}"</f>
        <v>!!S.29.03.01.05 Columns {4}</v>
      </c>
    </row>
    <row r="95" spans="2:12" ht="18.75">
      <c r="B95" s="88" t="s">
        <v>5721</v>
      </c>
      <c r="C95" s="87"/>
      <c r="D95" s="87"/>
      <c r="E95" s="87"/>
      <c r="F95" s="87"/>
      <c r="G95" s="87"/>
      <c r="H95" s="87"/>
      <c r="I95" s="87"/>
      <c r="J95" s="87"/>
      <c r="K95" s="87"/>
      <c r="L95" s="87"/>
    </row>
    <row r="99" spans="2:12">
      <c r="D99" s="92" t="s">
        <v>2877</v>
      </c>
      <c r="E99" s="94"/>
    </row>
    <row r="100" spans="2:12">
      <c r="D100" s="95"/>
      <c r="E100" s="97"/>
    </row>
    <row r="101" spans="2:12">
      <c r="D101" s="55" t="s">
        <v>5719</v>
      </c>
      <c r="E101" s="55" t="s">
        <v>5722</v>
      </c>
    </row>
    <row r="102" spans="2:12">
      <c r="D102" s="45" t="s">
        <v>3239</v>
      </c>
      <c r="E102" s="45" t="s">
        <v>3241</v>
      </c>
      <c r="J102" s="13" t="str">
        <f>Show!$B$164&amp;"S.29.03.01.06 Rows {"&amp;COLUMN($C$1)&amp;"}"&amp;"@ForceFilingCode:true"</f>
        <v>!S.29.03.01.06 Rows {3}@ForceFilingCode:true</v>
      </c>
      <c r="K102" s="13" t="str">
        <f>Show!$B$164&amp;"S.29.03.01.06 Columns {"&amp;COLUMN($D$1)&amp;"}"</f>
        <v>!S.29.03.01.06 Columns {4}</v>
      </c>
    </row>
    <row r="103" spans="2:12">
      <c r="B103" s="43" t="s">
        <v>2880</v>
      </c>
      <c r="C103" s="44" t="s">
        <v>2878</v>
      </c>
      <c r="D103" s="56"/>
      <c r="E103" s="57"/>
    </row>
    <row r="104" spans="2:12">
      <c r="B104" s="47" t="s">
        <v>5723</v>
      </c>
      <c r="C104" s="41" t="s">
        <v>2941</v>
      </c>
      <c r="D104" s="60"/>
      <c r="E104" s="60"/>
    </row>
    <row r="105" spans="2:12">
      <c r="B105" s="47" t="s">
        <v>5724</v>
      </c>
      <c r="C105" s="41" t="s">
        <v>2943</v>
      </c>
      <c r="D105" s="60"/>
      <c r="E105" s="60"/>
    </row>
    <row r="106" spans="2:12">
      <c r="B106" s="47" t="s">
        <v>5725</v>
      </c>
      <c r="C106" s="41" t="s">
        <v>2945</v>
      </c>
      <c r="D106" s="60"/>
      <c r="E106" s="60"/>
    </row>
    <row r="107" spans="2:12">
      <c r="B107" s="47" t="s">
        <v>5726</v>
      </c>
      <c r="C107" s="41" t="s">
        <v>2947</v>
      </c>
      <c r="D107" s="60"/>
      <c r="E107" s="60"/>
    </row>
    <row r="108" spans="2:12" ht="30">
      <c r="B108" s="47" t="s">
        <v>5727</v>
      </c>
      <c r="C108" s="41" t="s">
        <v>2949</v>
      </c>
      <c r="D108" s="60"/>
      <c r="E108" s="60"/>
    </row>
    <row r="110" spans="2:12">
      <c r="J110" s="13" t="str">
        <f>Show!$B$164&amp;Show!$B$164&amp;"S.29.03.01.06 Rows {"&amp;COLUMN($C$1)&amp;"}"</f>
        <v>!!S.29.03.01.06 Rows {3}</v>
      </c>
      <c r="K110" s="13" t="str">
        <f>Show!$B$164&amp;Show!$B$164&amp;"S.29.03.01.06 Columns {"&amp;COLUMN($E$1)&amp;"}"</f>
        <v>!!S.29.03.01.06 Columns {5}</v>
      </c>
    </row>
    <row r="112" spans="2:12" ht="18.75">
      <c r="B112" s="88" t="s">
        <v>5728</v>
      </c>
      <c r="C112" s="87"/>
      <c r="D112" s="87"/>
      <c r="E112" s="87"/>
      <c r="F112" s="87"/>
      <c r="G112" s="87"/>
      <c r="H112" s="87"/>
      <c r="I112" s="87"/>
      <c r="J112" s="87"/>
      <c r="K112" s="87"/>
      <c r="L112" s="87"/>
    </row>
    <row r="116" spans="2:11">
      <c r="D116" s="92" t="s">
        <v>2877</v>
      </c>
      <c r="E116" s="94"/>
    </row>
    <row r="117" spans="2:11">
      <c r="D117" s="95"/>
      <c r="E117" s="97"/>
    </row>
    <row r="118" spans="2:11">
      <c r="D118" s="55" t="s">
        <v>5719</v>
      </c>
      <c r="E118" s="55" t="s">
        <v>5722</v>
      </c>
    </row>
    <row r="119" spans="2:11">
      <c r="D119" s="45" t="s">
        <v>3243</v>
      </c>
      <c r="E119" s="45" t="s">
        <v>3375</v>
      </c>
      <c r="J119" s="13" t="str">
        <f>Show!$B$164&amp;"S.29.03.01.07 Rows {"&amp;COLUMN($C$1)&amp;"}"&amp;"@ForceFilingCode:true"</f>
        <v>!S.29.03.01.07 Rows {3}@ForceFilingCode:true</v>
      </c>
      <c r="K119" s="13" t="str">
        <f>Show!$B$164&amp;"S.29.03.01.07 Columns {"&amp;COLUMN($D$1)&amp;"}"</f>
        <v>!S.29.03.01.07 Columns {4}</v>
      </c>
    </row>
    <row r="120" spans="2:11">
      <c r="B120" s="43" t="s">
        <v>2880</v>
      </c>
      <c r="C120" s="44" t="s">
        <v>2878</v>
      </c>
      <c r="D120" s="56"/>
      <c r="E120" s="57"/>
    </row>
    <row r="121" spans="2:11">
      <c r="B121" s="47" t="s">
        <v>5729</v>
      </c>
      <c r="C121" s="41" t="s">
        <v>2951</v>
      </c>
      <c r="D121" s="60"/>
      <c r="E121" s="60"/>
    </row>
    <row r="122" spans="2:11">
      <c r="B122" s="47" t="s">
        <v>3353</v>
      </c>
      <c r="C122" s="41" t="s">
        <v>2953</v>
      </c>
      <c r="D122" s="60"/>
      <c r="E122" s="60"/>
    </row>
    <row r="124" spans="2:11">
      <c r="J124" s="13" t="str">
        <f>Show!$B$164&amp;Show!$B$164&amp;"S.29.03.01.07 Rows {"&amp;COLUMN($C$1)&amp;"}"</f>
        <v>!!S.29.03.01.07 Rows {3}</v>
      </c>
      <c r="K124" s="13" t="str">
        <f>Show!$B$164&amp;Show!$B$164&amp;"S.29.03.01.07 Columns {"&amp;COLUMN($E$1)&amp;"}"</f>
        <v>!!S.29.03.01.07 Columns {5}</v>
      </c>
    </row>
  </sheetData>
  <sheetProtection sheet="1" objects="1" scenarios="1"/>
  <mergeCells count="15">
    <mergeCell ref="B43:L43"/>
    <mergeCell ref="B2:O2"/>
    <mergeCell ref="B5:L5"/>
    <mergeCell ref="D9:E10"/>
    <mergeCell ref="B29:L29"/>
    <mergeCell ref="D33:E34"/>
    <mergeCell ref="D99:E100"/>
    <mergeCell ref="B112:L112"/>
    <mergeCell ref="D116:E117"/>
    <mergeCell ref="D47:E48"/>
    <mergeCell ref="B68:L68"/>
    <mergeCell ref="D72:E73"/>
    <mergeCell ref="B82:L82"/>
    <mergeCell ref="D86:D87"/>
    <mergeCell ref="B95:L95"/>
  </mergeCells>
  <pageMargins left="0.7" right="0.7" top="0.75" bottom="0.75" header="0.3" footer="0.3"/>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10E93-375B-42AF-9ECF-5DC509D719C7}">
  <sheetPr codeName="Blad169"/>
  <dimension ref="B2:O47"/>
  <sheetViews>
    <sheetView showGridLines="0" workbookViewId="0"/>
  </sheetViews>
  <sheetFormatPr defaultRowHeight="15"/>
  <cols>
    <col min="2" max="2" width="62.42578125" bestFit="1" customWidth="1"/>
    <col min="4" max="6" width="15.7109375" customWidth="1"/>
  </cols>
  <sheetData>
    <row r="2" spans="2:15" ht="23.25">
      <c r="B2" s="86" t="s">
        <v>758</v>
      </c>
      <c r="C2" s="87"/>
      <c r="D2" s="87"/>
      <c r="E2" s="87"/>
      <c r="F2" s="87"/>
      <c r="G2" s="87"/>
      <c r="H2" s="87"/>
      <c r="I2" s="87"/>
      <c r="J2" s="87"/>
      <c r="K2" s="87"/>
      <c r="L2" s="87"/>
      <c r="M2" s="87"/>
      <c r="N2" s="87"/>
      <c r="O2" s="87"/>
    </row>
    <row r="5" spans="2:15" ht="18.75">
      <c r="B5" s="88" t="s">
        <v>5730</v>
      </c>
      <c r="C5" s="87"/>
      <c r="D5" s="87"/>
      <c r="E5" s="87"/>
      <c r="F5" s="87"/>
      <c r="G5" s="87"/>
      <c r="H5" s="87"/>
      <c r="I5" s="87"/>
      <c r="J5" s="87"/>
      <c r="K5" s="87"/>
      <c r="L5" s="87"/>
    </row>
    <row r="7" spans="2:15">
      <c r="B7" t="s">
        <v>3110</v>
      </c>
      <c r="K7" s="13" t="str">
        <f>Show!$B$165&amp;"S.29.04.01.01 Table label {"&amp;COLUMN($C$1)&amp;"}"</f>
        <v>!S.29.04.01.01 Table label {3}</v>
      </c>
      <c r="L7" s="13" t="str">
        <f>Show!$B$165&amp;"S.29.04.01.01 Table value {"&amp;COLUMN($D$1)&amp;"}"</f>
        <v>!S.29.04.01.01 Table value {4}</v>
      </c>
    </row>
    <row r="8" spans="2:15">
      <c r="B8" t="s">
        <v>3111</v>
      </c>
    </row>
    <row r="9" spans="2:15">
      <c r="B9" s="40" t="s">
        <v>3427</v>
      </c>
      <c r="C9" s="53" t="s">
        <v>3113</v>
      </c>
      <c r="D9" s="51"/>
    </row>
    <row r="10" spans="2:15">
      <c r="K10" s="13" t="str">
        <f>Show!$B$165&amp;Show!$B$165&amp;"S.29.04.01.01 Table label {"&amp;COLUMN($C$1)&amp;"}"</f>
        <v>!!S.29.04.01.01 Table label {3}</v>
      </c>
      <c r="L10" s="13" t="str">
        <f>Show!$B$165&amp;Show!$B$165&amp;"S.29.04.01.01 Table value {"&amp;COLUMN($D$1)&amp;"}"</f>
        <v>!!S.29.04.01.01 Table value {4}</v>
      </c>
    </row>
    <row r="12" spans="2:15">
      <c r="D12" s="92" t="s">
        <v>2877</v>
      </c>
      <c r="E12" s="94"/>
    </row>
    <row r="13" spans="2:15">
      <c r="D13" s="95"/>
      <c r="E13" s="97"/>
    </row>
    <row r="14" spans="2:15" ht="30">
      <c r="D14" s="55" t="s">
        <v>5731</v>
      </c>
      <c r="E14" s="55" t="s">
        <v>5732</v>
      </c>
    </row>
    <row r="15" spans="2:15">
      <c r="D15" s="45" t="s">
        <v>2879</v>
      </c>
      <c r="E15" s="45" t="s">
        <v>3219</v>
      </c>
      <c r="K15" s="13" t="str">
        <f>Show!$B$165&amp;"S.29.04.01.01 Rows {"&amp;COLUMN($C$1)&amp;"}"&amp;"@ForceFilingCode:true"</f>
        <v>!S.29.04.01.01 Rows {3}@ForceFilingCode:true</v>
      </c>
      <c r="L15" s="13" t="str">
        <f>Show!$B$165&amp;"S.29.04.01.01 Columns {"&amp;COLUMN($D$1)&amp;"}"</f>
        <v>!S.29.04.01.01 Columns {4}</v>
      </c>
    </row>
    <row r="16" spans="2:15">
      <c r="B16" s="43" t="s">
        <v>2880</v>
      </c>
      <c r="C16" s="44" t="s">
        <v>2878</v>
      </c>
      <c r="D16" s="56"/>
      <c r="E16" s="57"/>
    </row>
    <row r="17" spans="2:12">
      <c r="B17" s="47" t="s">
        <v>5733</v>
      </c>
      <c r="C17" s="41" t="s">
        <v>2883</v>
      </c>
      <c r="D17" s="60"/>
      <c r="E17" s="60"/>
    </row>
    <row r="18" spans="2:12">
      <c r="B18" s="47" t="s">
        <v>5734</v>
      </c>
      <c r="C18" s="41" t="s">
        <v>2885</v>
      </c>
      <c r="D18" s="60"/>
      <c r="E18" s="60"/>
    </row>
    <row r="19" spans="2:12">
      <c r="B19" s="47" t="s">
        <v>5735</v>
      </c>
      <c r="C19" s="41" t="s">
        <v>2887</v>
      </c>
      <c r="D19" s="60"/>
      <c r="E19" s="60"/>
    </row>
    <row r="20" spans="2:12">
      <c r="B20" s="47" t="s">
        <v>5736</v>
      </c>
      <c r="C20" s="41" t="s">
        <v>2889</v>
      </c>
      <c r="D20" s="60"/>
      <c r="E20" s="60"/>
    </row>
    <row r="21" spans="2:12">
      <c r="B21" s="47" t="s">
        <v>5737</v>
      </c>
      <c r="C21" s="41" t="s">
        <v>3078</v>
      </c>
      <c r="D21" s="60"/>
      <c r="E21" s="60"/>
    </row>
    <row r="22" spans="2:12">
      <c r="B22" s="47" t="s">
        <v>5720</v>
      </c>
      <c r="C22" s="41" t="s">
        <v>2891</v>
      </c>
      <c r="D22" s="60"/>
      <c r="E22" s="60"/>
    </row>
    <row r="23" spans="2:12">
      <c r="B23" s="47" t="s">
        <v>3480</v>
      </c>
      <c r="C23" s="41" t="s">
        <v>2893</v>
      </c>
      <c r="D23" s="60"/>
      <c r="E23" s="60"/>
    </row>
    <row r="25" spans="2:12">
      <c r="K25" s="13" t="str">
        <f>Show!$B$165&amp;Show!$B$165&amp;"S.29.04.01.01 Rows {"&amp;COLUMN($C$1)&amp;"}"</f>
        <v>!!S.29.04.01.01 Rows {3}</v>
      </c>
      <c r="L25" s="13" t="str">
        <f>Show!$B$165&amp;Show!$B$165&amp;"S.29.04.01.01 Columns {"&amp;COLUMN($E$1)&amp;"}"</f>
        <v>!!S.29.04.01.01 Columns {5}</v>
      </c>
    </row>
    <row r="27" spans="2:12" ht="18.75">
      <c r="B27" s="88" t="s">
        <v>5738</v>
      </c>
      <c r="C27" s="87"/>
      <c r="D27" s="87"/>
      <c r="E27" s="87"/>
      <c r="F27" s="87"/>
      <c r="G27" s="87"/>
      <c r="H27" s="87"/>
      <c r="I27" s="87"/>
      <c r="J27" s="87"/>
      <c r="K27" s="87"/>
      <c r="L27" s="87"/>
    </row>
    <row r="29" spans="2:12">
      <c r="B29" t="s">
        <v>3110</v>
      </c>
      <c r="K29" s="13" t="str">
        <f>Show!$B$165&amp;"S.29.04.01.02 Table label {"&amp;COLUMN($C$1)&amp;"}"</f>
        <v>!S.29.04.01.02 Table label {3}</v>
      </c>
      <c r="L29" s="13" t="str">
        <f>Show!$B$165&amp;"S.29.04.01.02 Table value {"&amp;COLUMN($D$1)&amp;"}"</f>
        <v>!S.29.04.01.02 Table value {4}</v>
      </c>
    </row>
    <row r="30" spans="2:12">
      <c r="B30" t="s">
        <v>3111</v>
      </c>
    </row>
    <row r="31" spans="2:12">
      <c r="B31" s="40" t="s">
        <v>3427</v>
      </c>
      <c r="C31" s="53" t="s">
        <v>3113</v>
      </c>
      <c r="D31" s="51"/>
    </row>
    <row r="32" spans="2:12">
      <c r="K32" s="13" t="str">
        <f>Show!$B$165&amp;Show!$B$165&amp;"S.29.04.01.02 Table label {"&amp;COLUMN($C$1)&amp;"}"</f>
        <v>!!S.29.04.01.02 Table label {3}</v>
      </c>
      <c r="L32" s="13" t="str">
        <f>Show!$B$165&amp;Show!$B$165&amp;"S.29.04.01.02 Table value {"&amp;COLUMN($D$1)&amp;"}"</f>
        <v>!!S.29.04.01.02 Table value {4}</v>
      </c>
    </row>
    <row r="34" spans="2:12">
      <c r="D34" s="92" t="s">
        <v>2877</v>
      </c>
      <c r="E34" s="93"/>
      <c r="F34" s="94"/>
    </row>
    <row r="35" spans="2:12">
      <c r="D35" s="95"/>
      <c r="E35" s="96"/>
      <c r="F35" s="97"/>
    </row>
    <row r="36" spans="2:12" ht="45">
      <c r="D36" s="55" t="s">
        <v>5739</v>
      </c>
      <c r="E36" s="55" t="s">
        <v>5740</v>
      </c>
      <c r="F36" s="55" t="s">
        <v>5741</v>
      </c>
    </row>
    <row r="37" spans="2:12">
      <c r="D37" s="45" t="s">
        <v>3225</v>
      </c>
      <c r="E37" s="45" t="s">
        <v>3223</v>
      </c>
      <c r="F37" s="45" t="s">
        <v>3229</v>
      </c>
      <c r="K37" s="13" t="str">
        <f>Show!$B$165&amp;"S.29.04.01.02 Rows {"&amp;COLUMN($C$1)&amp;"}"&amp;"@ForceFilingCode:true"</f>
        <v>!S.29.04.01.02 Rows {3}@ForceFilingCode:true</v>
      </c>
      <c r="L37" s="13" t="str">
        <f>Show!$B$165&amp;"S.29.04.01.02 Columns {"&amp;COLUMN($D$1)&amp;"}"</f>
        <v>!S.29.04.01.02 Columns {4}</v>
      </c>
    </row>
    <row r="38" spans="2:12">
      <c r="B38" s="43" t="s">
        <v>2880</v>
      </c>
      <c r="C38" s="44" t="s">
        <v>2878</v>
      </c>
      <c r="D38" s="56"/>
      <c r="E38" s="66"/>
      <c r="F38" s="57"/>
    </row>
    <row r="39" spans="2:12">
      <c r="B39" s="47" t="s">
        <v>3437</v>
      </c>
      <c r="C39" s="41" t="s">
        <v>2895</v>
      </c>
      <c r="D39" s="60"/>
      <c r="E39" s="60"/>
      <c r="F39" s="60"/>
    </row>
    <row r="40" spans="2:12">
      <c r="B40" s="47" t="s">
        <v>5734</v>
      </c>
      <c r="C40" s="41" t="s">
        <v>2897</v>
      </c>
      <c r="D40" s="60"/>
      <c r="E40" s="60"/>
      <c r="F40" s="60"/>
    </row>
    <row r="41" spans="2:12">
      <c r="B41" s="47" t="s">
        <v>5735</v>
      </c>
      <c r="C41" s="41" t="s">
        <v>2899</v>
      </c>
      <c r="D41" s="60"/>
      <c r="E41" s="60"/>
      <c r="F41" s="60"/>
    </row>
    <row r="42" spans="2:12">
      <c r="B42" s="47" t="s">
        <v>5742</v>
      </c>
      <c r="C42" s="41" t="s">
        <v>2901</v>
      </c>
      <c r="D42" s="60"/>
      <c r="E42" s="60"/>
      <c r="F42" s="60"/>
    </row>
    <row r="43" spans="2:12">
      <c r="B43" s="47" t="s">
        <v>5737</v>
      </c>
      <c r="C43" s="41" t="s">
        <v>2903</v>
      </c>
      <c r="D43" s="60"/>
      <c r="E43" s="60"/>
      <c r="F43" s="60"/>
    </row>
    <row r="44" spans="2:12">
      <c r="B44" s="47" t="s">
        <v>5720</v>
      </c>
      <c r="C44" s="41" t="s">
        <v>2905</v>
      </c>
      <c r="D44" s="60"/>
      <c r="E44" s="60"/>
      <c r="F44" s="60"/>
    </row>
    <row r="45" spans="2:12">
      <c r="B45" s="47" t="s">
        <v>3480</v>
      </c>
      <c r="C45" s="41" t="s">
        <v>2907</v>
      </c>
      <c r="D45" s="60"/>
      <c r="E45" s="60"/>
      <c r="F45" s="60"/>
    </row>
    <row r="47" spans="2:12">
      <c r="K47" s="13" t="str">
        <f>Show!$B$165&amp;Show!$B$165&amp;"S.29.04.01.02 Rows {"&amp;COLUMN($C$1)&amp;"}"</f>
        <v>!!S.29.04.01.02 Rows {3}</v>
      </c>
      <c r="L47" s="13" t="str">
        <f>Show!$B$165&amp;Show!$B$165&amp;"S.29.04.01.02 Columns {"&amp;COLUMN($F$1)&amp;"}"</f>
        <v>!!S.29.04.01.02 Columns {6}</v>
      </c>
    </row>
  </sheetData>
  <sheetProtection sheet="1" objects="1" scenarios="1"/>
  <mergeCells count="5">
    <mergeCell ref="B2:O2"/>
    <mergeCell ref="B5:L5"/>
    <mergeCell ref="D12:E13"/>
    <mergeCell ref="B27:L27"/>
    <mergeCell ref="D34:F35"/>
  </mergeCells>
  <dataValidations count="1">
    <dataValidation type="list" errorStyle="warning" allowBlank="1" showInputMessage="1" showErrorMessage="1" sqref="D9 D31" xr:uid="{35062AB3-C1C0-43A7-B0EB-8DC9879DFFE4}">
      <formula1>hier_LB_32</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A7355-5BB7-448D-A8DF-563AD4703C5C}">
  <sheetPr codeName="Blad17"/>
  <dimension ref="B2:O20"/>
  <sheetViews>
    <sheetView showGridLines="0" workbookViewId="0"/>
  </sheetViews>
  <sheetFormatPr defaultRowHeight="15"/>
  <cols>
    <col min="2" max="2" width="42.85546875" bestFit="1" customWidth="1"/>
    <col min="4" max="4" width="40.7109375" customWidth="1"/>
  </cols>
  <sheetData>
    <row r="2" spans="2:15" ht="23.25">
      <c r="B2" s="86" t="s">
        <v>512</v>
      </c>
      <c r="C2" s="87"/>
      <c r="D2" s="87"/>
      <c r="E2" s="87"/>
      <c r="F2" s="87"/>
      <c r="G2" s="87"/>
      <c r="H2" s="87"/>
      <c r="I2" s="87"/>
      <c r="J2" s="87"/>
      <c r="K2" s="87"/>
      <c r="L2" s="87"/>
      <c r="M2" s="87"/>
      <c r="N2" s="87"/>
      <c r="O2" s="87"/>
    </row>
    <row r="5" spans="2:15" ht="18.75">
      <c r="B5" s="88" t="s">
        <v>3108</v>
      </c>
      <c r="C5" s="87"/>
      <c r="D5" s="87"/>
      <c r="E5" s="87"/>
      <c r="F5" s="87"/>
      <c r="G5" s="87"/>
      <c r="H5" s="87"/>
      <c r="I5" s="87"/>
      <c r="J5" s="87"/>
      <c r="K5" s="87"/>
      <c r="L5" s="87"/>
    </row>
    <row r="9" spans="2:15">
      <c r="D9" s="89" t="s">
        <v>2877</v>
      </c>
    </row>
    <row r="10" spans="2:15">
      <c r="D10" s="90"/>
    </row>
    <row r="11" spans="2:15">
      <c r="D11" s="90"/>
    </row>
    <row r="12" spans="2:15">
      <c r="D12" s="91"/>
    </row>
    <row r="13" spans="2:15">
      <c r="D13" s="45" t="s">
        <v>2879</v>
      </c>
      <c r="I13" s="13" t="str">
        <f>IF(COUNTIF(D:D,"Reported")&gt;0,Show!$B$13,"!")&amp;"S.01.01.15.01 Rows {"&amp;COLUMN($C$1)&amp;"}"&amp;"@ForceFilingCode:true"</f>
        <v>!S.01.01.15.01 Rows {3}@ForceFilingCode:true</v>
      </c>
      <c r="J13" s="13" t="str">
        <f>IF(COUNTIF(D:D,"Reported")&gt;0,Show!$B$13,"!")&amp;"S.01.01.15.01 Columns {"&amp;COLUMN($D$1)&amp;"}"</f>
        <v>!S.01.01.15.01 Columns {4}</v>
      </c>
    </row>
    <row r="14" spans="2:15">
      <c r="B14" s="43" t="s">
        <v>2880</v>
      </c>
      <c r="C14" s="44" t="s">
        <v>2878</v>
      </c>
      <c r="D14" s="48"/>
    </row>
    <row r="15" spans="2:15">
      <c r="B15" s="47" t="s">
        <v>2881</v>
      </c>
      <c r="C15" s="44" t="s">
        <v>2878</v>
      </c>
      <c r="D15" s="46"/>
    </row>
    <row r="16" spans="2:15">
      <c r="B16" s="52" t="s">
        <v>3075</v>
      </c>
      <c r="C16" s="41" t="s">
        <v>2883</v>
      </c>
      <c r="D16" s="51"/>
    </row>
    <row r="17" spans="2:10">
      <c r="B17" s="52" t="s">
        <v>3095</v>
      </c>
      <c r="C17" s="41" t="s">
        <v>3096</v>
      </c>
      <c r="D17" s="51"/>
    </row>
    <row r="18" spans="2:10">
      <c r="B18" s="52" t="s">
        <v>3097</v>
      </c>
      <c r="C18" s="41" t="s">
        <v>3098</v>
      </c>
      <c r="D18" s="51"/>
    </row>
    <row r="19" spans="2:10">
      <c r="B19" s="52" t="s">
        <v>3099</v>
      </c>
      <c r="C19" s="41" t="s">
        <v>3100</v>
      </c>
      <c r="D19" s="51"/>
    </row>
    <row r="20" spans="2:10">
      <c r="I20" s="13" t="str">
        <f>IF(COUNTIF(D:D,"Reported")&gt;0,Show!$B$13&amp;Show!$B$13,"!!")&amp;"S.01.01.15.01 Rows {"&amp;COLUMN($C$1)&amp;"}"</f>
        <v>!!S.01.01.15.01 Rows {3}</v>
      </c>
      <c r="J20" s="13" t="str">
        <f>IF(COUNTIF(D:D,"Reported")&gt;0,Show!$B$13&amp;Show!$B$13,"!!")&amp;"S.01.01.15.01 Columns {"&amp;COLUMN($D$1)&amp;"}"</f>
        <v>!!S.01.01.15.01 Columns {4}</v>
      </c>
    </row>
  </sheetData>
  <sheetProtection sheet="1" objects="1" scenarios="1"/>
  <mergeCells count="3">
    <mergeCell ref="B2:O2"/>
    <mergeCell ref="B5:L5"/>
    <mergeCell ref="D9:D12"/>
  </mergeCells>
  <dataValidations count="4">
    <dataValidation type="list" errorStyle="warning" allowBlank="1" showInputMessage="1" showErrorMessage="1" sqref="D16" xr:uid="{BC99342E-5483-46AE-9FD2-1DF260456B8F}">
      <formula1>hier_CN_2</formula1>
    </dataValidation>
    <dataValidation type="list" errorStyle="warning" allowBlank="1" showInputMessage="1" showErrorMessage="1" sqref="D17" xr:uid="{D7158DCC-D47C-4F76-8D40-E0A70AF5376B}">
      <formula1>hier_CN_15</formula1>
    </dataValidation>
    <dataValidation type="list" errorStyle="warning" allowBlank="1" showInputMessage="1" showErrorMessage="1" sqref="D18" xr:uid="{5D5F96DB-1F3D-4808-B7D3-10C4BC916697}">
      <formula1>hier_CN_75</formula1>
    </dataValidation>
    <dataValidation type="list" errorStyle="warning" allowBlank="1" showInputMessage="1" showErrorMessage="1" sqref="D19" xr:uid="{4A7444DE-776F-4374-9062-7C38781042F9}">
      <formula1>hier_CN_96</formula1>
    </dataValidation>
  </dataValidations>
  <hyperlinks>
    <hyperlink ref="B16" location="'S.01.02.07'!A1" display="S.01.02.07 - Basic Information - General" xr:uid="{CC406699-81C1-48F2-9BE3-25A04AE408B2}"/>
    <hyperlink ref="B17" location="'S.25.04.11'!A1" display="S.25.04.11 - Solvency Capital Requirement" xr:uid="{E9338338-1140-4B71-B00B-3CD6867A8927}"/>
    <hyperlink ref="B18" location="'S.39.01.11'!A1" display="S.39.01.11 - Profit and Loss" xr:uid="{E070C87C-12A1-49E4-9720-A7CC2ECE013B}"/>
    <hyperlink ref="B19" location="'S.41.01.11'!A1" display="S.41.01.11 - Lapses" xr:uid="{626FF037-B7E9-4C4E-A082-53EBFEE4F89D}"/>
  </hyperlinks>
  <pageMargins left="0.7" right="0.7" top="0.75" bottom="0.75" header="0.3" footer="0.3"/>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CB640-7793-4143-B824-0E1EFD716D3A}">
  <sheetPr codeName="Blad170"/>
  <dimension ref="B2:AC33"/>
  <sheetViews>
    <sheetView showGridLines="0" workbookViewId="0"/>
  </sheetViews>
  <sheetFormatPr defaultRowHeight="15"/>
  <cols>
    <col min="2" max="2" width="24.85546875" bestFit="1" customWidth="1"/>
    <col min="3" max="4" width="15.7109375" customWidth="1"/>
    <col min="5" max="8" width="40.7109375" customWidth="1"/>
    <col min="9" max="10" width="15.7109375" customWidth="1"/>
    <col min="11" max="11" width="40.7109375" customWidth="1"/>
    <col min="12" max="18" width="15.7109375" customWidth="1"/>
  </cols>
  <sheetData>
    <row r="2" spans="2:29" ht="23.25">
      <c r="B2" s="86" t="s">
        <v>760</v>
      </c>
      <c r="C2" s="87"/>
      <c r="D2" s="87"/>
      <c r="E2" s="87"/>
      <c r="F2" s="87"/>
      <c r="G2" s="87"/>
      <c r="H2" s="87"/>
      <c r="I2" s="87"/>
      <c r="J2" s="87"/>
      <c r="K2" s="87"/>
      <c r="L2" s="87"/>
      <c r="M2" s="87"/>
      <c r="N2" s="87"/>
      <c r="O2" s="87"/>
    </row>
    <row r="5" spans="2:29" ht="18.75">
      <c r="B5" s="88" t="s">
        <v>5743</v>
      </c>
      <c r="C5" s="87"/>
      <c r="D5" s="87"/>
      <c r="E5" s="87"/>
      <c r="F5" s="87"/>
      <c r="G5" s="87"/>
      <c r="H5" s="87"/>
      <c r="I5" s="87"/>
      <c r="J5" s="87"/>
      <c r="K5" s="87"/>
      <c r="L5" s="87"/>
    </row>
    <row r="7" spans="2:29">
      <c r="B7" t="s">
        <v>3110</v>
      </c>
      <c r="AB7" s="13" t="str">
        <f>Show!$B$166&amp;"S.30.01.01.01 Table label {"&amp;COLUMN($C$1)&amp;"}"</f>
        <v>!S.30.01.01.01 Table label {3}</v>
      </c>
      <c r="AC7" s="13" t="str">
        <f>Show!$B$166&amp;"S.30.01.01.01 Table value {"&amp;COLUMN($D$1)&amp;"}"</f>
        <v>!S.30.01.01.01 Table value {4}</v>
      </c>
    </row>
    <row r="8" spans="2:29">
      <c r="B8" t="s">
        <v>3111</v>
      </c>
    </row>
    <row r="9" spans="2:29">
      <c r="B9" s="40" t="s">
        <v>3427</v>
      </c>
      <c r="C9" s="53" t="s">
        <v>3113</v>
      </c>
      <c r="D9" s="51"/>
    </row>
    <row r="10" spans="2:29">
      <c r="AB10" s="13" t="str">
        <f>Show!$B$166&amp;Show!$B$166&amp;"S.30.01.01.01 Table label {"&amp;COLUMN($C$1)&amp;"}"</f>
        <v>!!S.30.01.01.01 Table label {3}</v>
      </c>
      <c r="AC10" s="13" t="str">
        <f>Show!$B$166&amp;Show!$B$166&amp;"S.30.01.01.01 Table value {"&amp;COLUMN($D$1)&amp;"}"</f>
        <v>!!S.30.01.01.01 Table value {4}</v>
      </c>
    </row>
    <row r="12" spans="2:29">
      <c r="B12" s="89" t="s">
        <v>5744</v>
      </c>
      <c r="C12" s="89" t="s">
        <v>4219</v>
      </c>
      <c r="D12" s="89" t="s">
        <v>5745</v>
      </c>
      <c r="E12" s="92" t="s">
        <v>2877</v>
      </c>
      <c r="F12" s="93"/>
      <c r="G12" s="93"/>
      <c r="H12" s="93"/>
      <c r="I12" s="93"/>
      <c r="J12" s="93"/>
      <c r="K12" s="93"/>
      <c r="L12" s="93"/>
      <c r="M12" s="93"/>
      <c r="N12" s="93"/>
      <c r="O12" s="93"/>
      <c r="P12" s="93"/>
      <c r="Q12" s="93"/>
      <c r="R12" s="94"/>
    </row>
    <row r="13" spans="2:29">
      <c r="B13" s="90"/>
      <c r="C13" s="90"/>
      <c r="D13" s="90"/>
      <c r="E13" s="95"/>
      <c r="F13" s="96"/>
      <c r="G13" s="96"/>
      <c r="H13" s="96"/>
      <c r="I13" s="96"/>
      <c r="J13" s="96"/>
      <c r="K13" s="96"/>
      <c r="L13" s="96"/>
      <c r="M13" s="96"/>
      <c r="N13" s="96"/>
      <c r="O13" s="96"/>
      <c r="P13" s="96"/>
      <c r="Q13" s="96"/>
      <c r="R13" s="97"/>
    </row>
    <row r="14" spans="2:29" ht="105">
      <c r="B14" s="91"/>
      <c r="C14" s="91"/>
      <c r="D14" s="91"/>
      <c r="E14" s="55" t="s">
        <v>5746</v>
      </c>
      <c r="F14" s="55" t="s">
        <v>2595</v>
      </c>
      <c r="G14" s="55" t="s">
        <v>5747</v>
      </c>
      <c r="H14" s="55" t="s">
        <v>4221</v>
      </c>
      <c r="I14" s="55" t="s">
        <v>4222</v>
      </c>
      <c r="J14" s="55" t="s">
        <v>4223</v>
      </c>
      <c r="K14" s="55" t="s">
        <v>4224</v>
      </c>
      <c r="L14" s="55" t="s">
        <v>3606</v>
      </c>
      <c r="M14" s="55" t="s">
        <v>4225</v>
      </c>
      <c r="N14" s="55" t="s">
        <v>4227</v>
      </c>
      <c r="O14" s="55" t="s">
        <v>4228</v>
      </c>
      <c r="P14" s="55" t="s">
        <v>4229</v>
      </c>
      <c r="Q14" s="55" t="s">
        <v>5748</v>
      </c>
      <c r="R14" s="55" t="s">
        <v>5749</v>
      </c>
    </row>
    <row r="15" spans="2:29">
      <c r="B15" s="42" t="s">
        <v>3219</v>
      </c>
      <c r="C15" s="42" t="s">
        <v>3225</v>
      </c>
      <c r="D15" s="42" t="s">
        <v>3223</v>
      </c>
      <c r="E15" s="42" t="s">
        <v>3229</v>
      </c>
      <c r="F15" s="42" t="s">
        <v>3231</v>
      </c>
      <c r="G15" s="42" t="s">
        <v>3233</v>
      </c>
      <c r="H15" s="42" t="s">
        <v>3234</v>
      </c>
      <c r="I15" s="42" t="s">
        <v>3236</v>
      </c>
      <c r="J15" s="42" t="s">
        <v>3239</v>
      </c>
      <c r="K15" s="42" t="s">
        <v>3241</v>
      </c>
      <c r="L15" s="42" t="s">
        <v>3243</v>
      </c>
      <c r="M15" s="42" t="s">
        <v>3375</v>
      </c>
      <c r="N15" s="42" t="s">
        <v>3475</v>
      </c>
      <c r="O15" s="42" t="s">
        <v>3477</v>
      </c>
      <c r="P15" s="42" t="s">
        <v>3479</v>
      </c>
      <c r="Q15" s="42" t="s">
        <v>3594</v>
      </c>
      <c r="R15" s="42" t="s">
        <v>3596</v>
      </c>
      <c r="AB15" s="13" t="str">
        <f>Show!$B$166&amp;"S.30.01.01.01 Rows {"&amp;COLUMN($B$1)&amp;"}"&amp;"@ForceFilingCode:true"</f>
        <v>!S.30.01.01.01 Rows {2}@ForceFilingCode:true</v>
      </c>
      <c r="AC15" s="13" t="str">
        <f>Show!$B$166&amp;"S.30.01.01.01 Columns {"&amp;COLUMN($B$1)&amp;"}"</f>
        <v>!S.30.01.01.01 Columns {2}</v>
      </c>
    </row>
    <row r="16" spans="2:29">
      <c r="B16" s="50"/>
      <c r="C16" s="50"/>
      <c r="D16" s="50"/>
      <c r="E16" s="51"/>
      <c r="F16" s="51"/>
      <c r="G16" s="51"/>
      <c r="H16" s="51"/>
      <c r="I16" s="51"/>
      <c r="J16" s="54"/>
      <c r="K16" s="54"/>
      <c r="L16" s="51"/>
      <c r="M16" s="60"/>
      <c r="N16" s="51"/>
      <c r="O16" s="60"/>
      <c r="P16" s="60"/>
      <c r="Q16" s="60"/>
      <c r="R16" s="60"/>
    </row>
    <row r="18" spans="2:29">
      <c r="AB18" s="13" t="str">
        <f>Show!$B$166&amp;Show!$B$166&amp;"S.30.01.01.01 Rows {"&amp;COLUMN($B$1)&amp;"}"</f>
        <v>!!S.30.01.01.01 Rows {2}</v>
      </c>
      <c r="AC18" s="13" t="str">
        <f>Show!$B$166&amp;Show!$B$166&amp;"S.30.01.01.01 Columns {"&amp;COLUMN($R$1)&amp;"}"</f>
        <v>!!S.30.01.01.01 Columns {18}</v>
      </c>
    </row>
    <row r="20" spans="2:29" ht="18.75">
      <c r="B20" s="88" t="s">
        <v>5750</v>
      </c>
      <c r="C20" s="87"/>
      <c r="D20" s="87"/>
      <c r="E20" s="87"/>
      <c r="F20" s="87"/>
      <c r="G20" s="87"/>
      <c r="H20" s="87"/>
      <c r="I20" s="87"/>
      <c r="J20" s="87"/>
      <c r="K20" s="87"/>
      <c r="L20" s="87"/>
    </row>
    <row r="22" spans="2:29">
      <c r="B22" t="s">
        <v>3110</v>
      </c>
      <c r="AB22" s="13" t="str">
        <f>Show!$B$166&amp;"S.30.01.01.02 Table label {"&amp;COLUMN($C$1)&amp;"}"</f>
        <v>!S.30.01.01.02 Table label {3}</v>
      </c>
      <c r="AC22" s="13" t="str">
        <f>Show!$B$166&amp;"S.30.01.01.02 Table value {"&amp;COLUMN($D$1)&amp;"}"</f>
        <v>!S.30.01.01.02 Table value {4}</v>
      </c>
    </row>
    <row r="23" spans="2:29">
      <c r="B23" t="s">
        <v>3111</v>
      </c>
    </row>
    <row r="24" spans="2:29">
      <c r="B24" s="40" t="s">
        <v>3427</v>
      </c>
      <c r="C24" s="53" t="s">
        <v>3115</v>
      </c>
      <c r="D24" s="51"/>
    </row>
    <row r="25" spans="2:29">
      <c r="AB25" s="13" t="str">
        <f>Show!$B$166&amp;Show!$B$166&amp;"S.30.01.01.02 Table label {"&amp;COLUMN($C$1)&amp;"}"</f>
        <v>!!S.30.01.01.02 Table label {3}</v>
      </c>
      <c r="AC25" s="13" t="str">
        <f>Show!$B$166&amp;Show!$B$166&amp;"S.30.01.01.02 Table value {"&amp;COLUMN($D$1)&amp;"}"</f>
        <v>!!S.30.01.01.02 Table value {4}</v>
      </c>
    </row>
    <row r="27" spans="2:29">
      <c r="B27" s="89" t="s">
        <v>5744</v>
      </c>
      <c r="C27" s="89" t="s">
        <v>4219</v>
      </c>
      <c r="D27" s="89" t="s">
        <v>5745</v>
      </c>
      <c r="E27" s="92" t="s">
        <v>2877</v>
      </c>
      <c r="F27" s="93"/>
      <c r="G27" s="93"/>
      <c r="H27" s="93"/>
      <c r="I27" s="93"/>
      <c r="J27" s="93"/>
      <c r="K27" s="93"/>
      <c r="L27" s="93"/>
      <c r="M27" s="93"/>
      <c r="N27" s="93"/>
      <c r="O27" s="93"/>
      <c r="P27" s="94"/>
    </row>
    <row r="28" spans="2:29">
      <c r="B28" s="90"/>
      <c r="C28" s="90"/>
      <c r="D28" s="90"/>
      <c r="E28" s="95"/>
      <c r="F28" s="96"/>
      <c r="G28" s="96"/>
      <c r="H28" s="96"/>
      <c r="I28" s="96"/>
      <c r="J28" s="96"/>
      <c r="K28" s="96"/>
      <c r="L28" s="96"/>
      <c r="M28" s="96"/>
      <c r="N28" s="96"/>
      <c r="O28" s="96"/>
      <c r="P28" s="97"/>
    </row>
    <row r="29" spans="2:29" ht="105">
      <c r="B29" s="91"/>
      <c r="C29" s="91"/>
      <c r="D29" s="91"/>
      <c r="E29" s="55" t="s">
        <v>5746</v>
      </c>
      <c r="F29" s="55" t="s">
        <v>2595</v>
      </c>
      <c r="G29" s="55" t="s">
        <v>5747</v>
      </c>
      <c r="H29" s="55" t="s">
        <v>4222</v>
      </c>
      <c r="I29" s="55" t="s">
        <v>4223</v>
      </c>
      <c r="J29" s="55" t="s">
        <v>4224</v>
      </c>
      <c r="K29" s="55" t="s">
        <v>3606</v>
      </c>
      <c r="L29" s="55" t="s">
        <v>5751</v>
      </c>
      <c r="M29" s="55" t="s">
        <v>5054</v>
      </c>
      <c r="N29" s="55" t="s">
        <v>4229</v>
      </c>
      <c r="O29" s="55" t="s">
        <v>5748</v>
      </c>
      <c r="P29" s="55" t="s">
        <v>5749</v>
      </c>
    </row>
    <row r="30" spans="2:29">
      <c r="B30" s="42" t="s">
        <v>3599</v>
      </c>
      <c r="C30" s="42" t="s">
        <v>3481</v>
      </c>
      <c r="D30" s="42" t="s">
        <v>3508</v>
      </c>
      <c r="E30" s="42" t="s">
        <v>3509</v>
      </c>
      <c r="F30" s="42" t="s">
        <v>3511</v>
      </c>
      <c r="G30" s="42" t="s">
        <v>3513</v>
      </c>
      <c r="H30" s="42" t="s">
        <v>3514</v>
      </c>
      <c r="I30" s="42" t="s">
        <v>3515</v>
      </c>
      <c r="J30" s="42" t="s">
        <v>3517</v>
      </c>
      <c r="K30" s="42" t="s">
        <v>3518</v>
      </c>
      <c r="L30" s="42" t="s">
        <v>3608</v>
      </c>
      <c r="M30" s="42" t="s">
        <v>3519</v>
      </c>
      <c r="N30" s="42" t="s">
        <v>3612</v>
      </c>
      <c r="O30" s="42" t="s">
        <v>3614</v>
      </c>
      <c r="P30" s="42" t="s">
        <v>3616</v>
      </c>
      <c r="AB30" s="13" t="str">
        <f>Show!$B$166&amp;"S.30.01.01.02 Rows {"&amp;COLUMN($B$1)&amp;"}"&amp;"@ForceFilingCode:true"</f>
        <v>!S.30.01.01.02 Rows {2}@ForceFilingCode:true</v>
      </c>
      <c r="AC30" s="13" t="str">
        <f>Show!$B$166&amp;"S.30.01.01.02 Columns {"&amp;COLUMN($B$1)&amp;"}"</f>
        <v>!S.30.01.01.02 Columns {2}</v>
      </c>
    </row>
    <row r="31" spans="2:29">
      <c r="B31" s="50"/>
      <c r="C31" s="50"/>
      <c r="D31" s="50"/>
      <c r="E31" s="51"/>
      <c r="F31" s="51"/>
      <c r="G31" s="51"/>
      <c r="H31" s="51"/>
      <c r="I31" s="54"/>
      <c r="J31" s="54"/>
      <c r="K31" s="51"/>
      <c r="L31" s="60"/>
      <c r="M31" s="60"/>
      <c r="N31" s="60"/>
      <c r="O31" s="60"/>
      <c r="P31" s="60"/>
    </row>
    <row r="33" spans="28:29">
      <c r="AB33" s="13" t="str">
        <f>Show!$B$166&amp;Show!$B$166&amp;"S.30.01.01.02 Rows {"&amp;COLUMN($B$1)&amp;"}"</f>
        <v>!!S.30.01.01.02 Rows {2}</v>
      </c>
      <c r="AC33" s="13" t="str">
        <f>Show!$B$166&amp;Show!$B$166&amp;"S.30.01.01.02 Columns {"&amp;COLUMN($P$1)&amp;"}"</f>
        <v>!!S.30.01.01.02 Columns {16}</v>
      </c>
    </row>
  </sheetData>
  <sheetProtection sheet="1" objects="1" scenarios="1"/>
  <mergeCells count="11">
    <mergeCell ref="B2:O2"/>
    <mergeCell ref="B5:L5"/>
    <mergeCell ref="B12:B14"/>
    <mergeCell ref="C12:C14"/>
    <mergeCell ref="D12:D14"/>
    <mergeCell ref="E12:R13"/>
    <mergeCell ref="B20:L20"/>
    <mergeCell ref="B27:B29"/>
    <mergeCell ref="C27:C29"/>
    <mergeCell ref="D27:D29"/>
    <mergeCell ref="E27:P28"/>
  </mergeCells>
  <dataValidations count="7">
    <dataValidation type="list" errorStyle="warning" allowBlank="1" showInputMessage="1" showErrorMessage="1" sqref="D9" xr:uid="{DEA70690-D996-45FA-B995-B3ADD8FB703B}">
      <formula1>hier_LB_33</formula1>
    </dataValidation>
    <dataValidation type="list" errorStyle="warning" allowBlank="1" showInputMessage="1" showErrorMessage="1" sqref="E16 E31" xr:uid="{0A6E65E8-8BFF-48E9-8FC6-8AEC29421619}">
      <formula1>hier_TB_4</formula1>
    </dataValidation>
    <dataValidation type="list" errorStyle="warning" allowBlank="1" showInputMessage="1" showErrorMessage="1" sqref="F16 F31" xr:uid="{6DF22D73-CD70-45DE-8D63-5AD36566027B}">
      <formula1>hier_TB_9</formula1>
    </dataValidation>
    <dataValidation type="date" operator="greaterThan" allowBlank="1" showInputMessage="1" showErrorMessage="1" errorTitle="Date value" error="This cell can only contain dates" sqref="I31:J31 J16:K16" xr:uid="{DA0C4C9C-9066-4D57-BFA0-5637EF59CDDF}">
      <formula1>1</formula1>
    </dataValidation>
    <dataValidation type="list" errorStyle="warning" allowBlank="1" showInputMessage="1" showErrorMessage="1" sqref="L16 K31" xr:uid="{BA4A81D1-9BDB-4020-9FC6-7267F5820E19}">
      <formula1>hier_CU_1</formula1>
    </dataValidation>
    <dataValidation type="list" errorStyle="warning" allowBlank="1" showInputMessage="1" showErrorMessage="1" sqref="N16" xr:uid="{DAFA21D1-479F-470C-B005-07F206DE02A8}">
      <formula1>hier_TB_3</formula1>
    </dataValidation>
    <dataValidation type="list" errorStyle="warning" allowBlank="1" showInputMessage="1" showErrorMessage="1" sqref="D24" xr:uid="{8C702369-BAB1-49CD-A40F-6E8565034C93}">
      <formula1>hier_LB_50</formula1>
    </dataValidation>
  </dataValidations>
  <pageMargins left="0.7" right="0.7" top="0.75" bottom="0.75" header="0.3" footer="0.3"/>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22D11-BFC3-48ED-A732-635655959E8C}">
  <sheetPr codeName="Blad171"/>
  <dimension ref="B2:Y57"/>
  <sheetViews>
    <sheetView showGridLines="0" workbookViewId="0"/>
  </sheetViews>
  <sheetFormatPr defaultRowHeight="15"/>
  <cols>
    <col min="2" max="2" width="35.85546875" bestFit="1" customWidth="1"/>
    <col min="3" max="9" width="40.7109375" customWidth="1"/>
    <col min="10" max="11" width="15.7109375" customWidth="1"/>
    <col min="12" max="12" width="40.7109375" customWidth="1"/>
  </cols>
  <sheetData>
    <row r="2" spans="2:25" ht="23.25">
      <c r="B2" s="86" t="s">
        <v>762</v>
      </c>
      <c r="C2" s="87"/>
      <c r="D2" s="87"/>
      <c r="E2" s="87"/>
      <c r="F2" s="87"/>
      <c r="G2" s="87"/>
      <c r="H2" s="87"/>
      <c r="I2" s="87"/>
      <c r="J2" s="87"/>
      <c r="K2" s="87"/>
      <c r="L2" s="87"/>
      <c r="M2" s="87"/>
      <c r="N2" s="87"/>
      <c r="O2" s="87"/>
    </row>
    <row r="5" spans="2:25" ht="18.75">
      <c r="B5" s="88" t="s">
        <v>5752</v>
      </c>
      <c r="C5" s="87"/>
      <c r="D5" s="87"/>
      <c r="E5" s="87"/>
      <c r="F5" s="87"/>
      <c r="G5" s="87"/>
      <c r="H5" s="87"/>
      <c r="I5" s="87"/>
      <c r="J5" s="87"/>
      <c r="K5" s="87"/>
      <c r="L5" s="87"/>
    </row>
    <row r="7" spans="2:25">
      <c r="B7" t="s">
        <v>3110</v>
      </c>
      <c r="X7" s="13" t="str">
        <f>Show!$B$167&amp;"S.30.02.01.01 Table label {"&amp;COLUMN($C$1)&amp;"}"</f>
        <v>!S.30.02.01.01 Table label {3}</v>
      </c>
      <c r="Y7" s="13" t="str">
        <f>Show!$B$167&amp;"S.30.02.01.01 Table value {"&amp;COLUMN($D$1)&amp;"}"</f>
        <v>!S.30.02.01.01 Table value {4}</v>
      </c>
    </row>
    <row r="8" spans="2:25">
      <c r="B8" t="s">
        <v>3111</v>
      </c>
    </row>
    <row r="9" spans="2:25">
      <c r="B9" s="40" t="s">
        <v>3427</v>
      </c>
      <c r="C9" s="53" t="s">
        <v>3113</v>
      </c>
      <c r="D9" s="51"/>
    </row>
    <row r="10" spans="2:25">
      <c r="X10" s="13" t="str">
        <f>Show!$B$167&amp;Show!$B$167&amp;"S.30.02.01.01 Table label {"&amp;COLUMN($C$1)&amp;"}"</f>
        <v>!!S.30.02.01.01 Table label {3}</v>
      </c>
      <c r="Y10" s="13" t="str">
        <f>Show!$B$167&amp;Show!$B$167&amp;"S.30.02.01.01 Table value {"&amp;COLUMN($D$1)&amp;"}"</f>
        <v>!!S.30.02.01.01 Table value {4}</v>
      </c>
    </row>
    <row r="12" spans="2:25">
      <c r="B12" s="89" t="s">
        <v>5744</v>
      </c>
      <c r="C12" s="89" t="s">
        <v>4219</v>
      </c>
      <c r="D12" s="89" t="s">
        <v>5745</v>
      </c>
      <c r="E12" s="89" t="s">
        <v>5753</v>
      </c>
      <c r="F12" s="89" t="s">
        <v>5754</v>
      </c>
      <c r="G12" s="92" t="s">
        <v>2877</v>
      </c>
      <c r="H12" s="93"/>
      <c r="I12" s="93"/>
      <c r="J12" s="93"/>
      <c r="K12" s="93"/>
      <c r="L12" s="94"/>
    </row>
    <row r="13" spans="2:25">
      <c r="B13" s="90"/>
      <c r="C13" s="90"/>
      <c r="D13" s="90"/>
      <c r="E13" s="90"/>
      <c r="F13" s="90"/>
      <c r="G13" s="95"/>
      <c r="H13" s="96"/>
      <c r="I13" s="96"/>
      <c r="J13" s="96"/>
      <c r="K13" s="96"/>
      <c r="L13" s="97"/>
    </row>
    <row r="14" spans="2:25" ht="60">
      <c r="B14" s="91"/>
      <c r="C14" s="91"/>
      <c r="D14" s="91"/>
      <c r="E14" s="91"/>
      <c r="F14" s="91"/>
      <c r="G14" s="55" t="s">
        <v>5755</v>
      </c>
      <c r="H14" s="55" t="s">
        <v>5756</v>
      </c>
      <c r="I14" s="55" t="s">
        <v>3606</v>
      </c>
      <c r="J14" s="55" t="s">
        <v>5757</v>
      </c>
      <c r="K14" s="55" t="s">
        <v>5758</v>
      </c>
      <c r="L14" s="55" t="s">
        <v>5759</v>
      </c>
    </row>
    <row r="15" spans="2:25">
      <c r="B15" s="42" t="s">
        <v>3219</v>
      </c>
      <c r="C15" s="42" t="s">
        <v>3225</v>
      </c>
      <c r="D15" s="42" t="s">
        <v>3223</v>
      </c>
      <c r="E15" s="42" t="s">
        <v>3229</v>
      </c>
      <c r="F15" s="42" t="s">
        <v>3233</v>
      </c>
      <c r="G15" s="42" t="s">
        <v>3236</v>
      </c>
      <c r="H15" s="42" t="s">
        <v>3239</v>
      </c>
      <c r="I15" s="42" t="s">
        <v>3241</v>
      </c>
      <c r="J15" s="42" t="s">
        <v>3243</v>
      </c>
      <c r="K15" s="42" t="s">
        <v>3375</v>
      </c>
      <c r="L15" s="42" t="s">
        <v>3475</v>
      </c>
      <c r="X15" s="13" t="str">
        <f>Show!$B$167&amp;"S.30.02.01.01 Rows {"&amp;COLUMN($B$1)&amp;"}"&amp;"@ForceFilingCode:true"</f>
        <v>!S.30.02.01.01 Rows {2}@ForceFilingCode:true</v>
      </c>
      <c r="Y15" s="13" t="str">
        <f>Show!$B$167&amp;"S.30.02.01.01 Columns {"&amp;COLUMN($B$1)&amp;"}"</f>
        <v>!S.30.02.01.01 Columns {2}</v>
      </c>
    </row>
    <row r="16" spans="2:25">
      <c r="B16" s="50"/>
      <c r="C16" s="50"/>
      <c r="D16" s="50"/>
      <c r="E16" s="50"/>
      <c r="F16" s="50"/>
      <c r="G16" s="51"/>
      <c r="H16" s="70"/>
      <c r="I16" s="51"/>
      <c r="J16" s="60"/>
      <c r="K16" s="60"/>
      <c r="L16" s="51"/>
    </row>
    <row r="18" spans="2:25">
      <c r="X18" s="13" t="str">
        <f>Show!$B$167&amp;Show!$B$167&amp;"S.30.02.01.01 Rows {"&amp;COLUMN($B$1)&amp;"}"</f>
        <v>!!S.30.02.01.01 Rows {2}</v>
      </c>
      <c r="Y18" s="13" t="str">
        <f>Show!$B$167&amp;Show!$B$167&amp;"S.30.02.01.01 Columns {"&amp;COLUMN($L$1)&amp;"}"</f>
        <v>!!S.30.02.01.01 Columns {12}</v>
      </c>
    </row>
    <row r="20" spans="2:25" ht="18.75">
      <c r="B20" s="88" t="s">
        <v>5760</v>
      </c>
      <c r="C20" s="87"/>
      <c r="D20" s="87"/>
      <c r="E20" s="87"/>
      <c r="F20" s="87"/>
      <c r="G20" s="87"/>
      <c r="H20" s="87"/>
      <c r="I20" s="87"/>
      <c r="J20" s="87"/>
      <c r="K20" s="87"/>
      <c r="L20" s="87"/>
    </row>
    <row r="22" spans="2:25">
      <c r="B22" t="s">
        <v>3110</v>
      </c>
      <c r="X22" s="13" t="str">
        <f>Show!$B$167&amp;"S.30.02.01.02 Table label {"&amp;COLUMN($C$1)&amp;"}"</f>
        <v>!S.30.02.01.02 Table label {3}</v>
      </c>
      <c r="Y22" s="13" t="str">
        <f>Show!$B$167&amp;"S.30.02.01.02 Table value {"&amp;COLUMN($D$1)&amp;"}"</f>
        <v>!S.30.02.01.02 Table value {4}</v>
      </c>
    </row>
    <row r="23" spans="2:25">
      <c r="B23" t="s">
        <v>3111</v>
      </c>
    </row>
    <row r="24" spans="2:25">
      <c r="B24" s="40" t="s">
        <v>3427</v>
      </c>
      <c r="C24" s="53" t="s">
        <v>3115</v>
      </c>
      <c r="D24" s="51"/>
    </row>
    <row r="25" spans="2:25">
      <c r="X25" s="13" t="str">
        <f>Show!$B$167&amp;Show!$B$167&amp;"S.30.02.01.02 Table label {"&amp;COLUMN($C$1)&amp;"}"</f>
        <v>!!S.30.02.01.02 Table label {3}</v>
      </c>
      <c r="Y25" s="13" t="str">
        <f>Show!$B$167&amp;Show!$B$167&amp;"S.30.02.01.02 Table value {"&amp;COLUMN($D$1)&amp;"}"</f>
        <v>!!S.30.02.01.02 Table value {4}</v>
      </c>
    </row>
    <row r="27" spans="2:25">
      <c r="B27" s="89" t="s">
        <v>5744</v>
      </c>
      <c r="C27" s="89" t="s">
        <v>4219</v>
      </c>
      <c r="D27" s="89" t="s">
        <v>5745</v>
      </c>
      <c r="E27" s="89" t="s">
        <v>5753</v>
      </c>
      <c r="F27" s="89" t="s">
        <v>5754</v>
      </c>
      <c r="G27" s="92" t="s">
        <v>2877</v>
      </c>
      <c r="H27" s="93"/>
      <c r="I27" s="93"/>
      <c r="J27" s="93"/>
      <c r="K27" s="93"/>
      <c r="L27" s="94"/>
    </row>
    <row r="28" spans="2:25">
      <c r="B28" s="90"/>
      <c r="C28" s="90"/>
      <c r="D28" s="90"/>
      <c r="E28" s="90"/>
      <c r="F28" s="90"/>
      <c r="G28" s="95"/>
      <c r="H28" s="96"/>
      <c r="I28" s="96"/>
      <c r="J28" s="96"/>
      <c r="K28" s="96"/>
      <c r="L28" s="97"/>
    </row>
    <row r="29" spans="2:25" ht="60">
      <c r="B29" s="91"/>
      <c r="C29" s="91"/>
      <c r="D29" s="91"/>
      <c r="E29" s="91"/>
      <c r="F29" s="91"/>
      <c r="G29" s="55" t="s">
        <v>5755</v>
      </c>
      <c r="H29" s="55" t="s">
        <v>5756</v>
      </c>
      <c r="I29" s="55" t="s">
        <v>3606</v>
      </c>
      <c r="J29" s="55" t="s">
        <v>5757</v>
      </c>
      <c r="K29" s="55" t="s">
        <v>5758</v>
      </c>
      <c r="L29" s="55" t="s">
        <v>5759</v>
      </c>
    </row>
    <row r="30" spans="2:25">
      <c r="B30" s="42" t="s">
        <v>3477</v>
      </c>
      <c r="C30" s="42" t="s">
        <v>3479</v>
      </c>
      <c r="D30" s="42" t="s">
        <v>3594</v>
      </c>
      <c r="E30" s="42" t="s">
        <v>3596</v>
      </c>
      <c r="F30" s="42" t="s">
        <v>3481</v>
      </c>
      <c r="G30" s="42" t="s">
        <v>3509</v>
      </c>
      <c r="H30" s="42" t="s">
        <v>3511</v>
      </c>
      <c r="I30" s="42" t="s">
        <v>3513</v>
      </c>
      <c r="J30" s="42" t="s">
        <v>3514</v>
      </c>
      <c r="K30" s="42" t="s">
        <v>3515</v>
      </c>
      <c r="L30" s="42" t="s">
        <v>3517</v>
      </c>
      <c r="X30" s="13" t="str">
        <f>Show!$B$167&amp;"S.30.02.01.02 Rows {"&amp;COLUMN($B$1)&amp;"}"&amp;"@ForceFilingCode:true"</f>
        <v>!S.30.02.01.02 Rows {2}@ForceFilingCode:true</v>
      </c>
      <c r="Y30" s="13" t="str">
        <f>Show!$B$167&amp;"S.30.02.01.02 Columns {"&amp;COLUMN($B$1)&amp;"}"</f>
        <v>!S.30.02.01.02 Columns {2}</v>
      </c>
    </row>
    <row r="31" spans="2:25">
      <c r="B31" s="50"/>
      <c r="C31" s="50"/>
      <c r="D31" s="50"/>
      <c r="E31" s="50"/>
      <c r="F31" s="50"/>
      <c r="G31" s="51"/>
      <c r="H31" s="70"/>
      <c r="I31" s="51"/>
      <c r="J31" s="60"/>
      <c r="K31" s="60"/>
      <c r="L31" s="51"/>
    </row>
    <row r="33" spans="2:25">
      <c r="X33" s="13" t="str">
        <f>Show!$B$167&amp;Show!$B$167&amp;"S.30.02.01.02 Rows {"&amp;COLUMN($B$1)&amp;"}"</f>
        <v>!!S.30.02.01.02 Rows {2}</v>
      </c>
      <c r="Y33" s="13" t="str">
        <f>Show!$B$167&amp;Show!$B$167&amp;"S.30.02.01.02 Columns {"&amp;COLUMN($L$1)&amp;"}"</f>
        <v>!!S.30.02.01.02 Columns {12}</v>
      </c>
    </row>
    <row r="35" spans="2:25" ht="18.75">
      <c r="B35" s="88" t="s">
        <v>5761</v>
      </c>
      <c r="C35" s="87"/>
      <c r="D35" s="87"/>
      <c r="E35" s="87"/>
      <c r="F35" s="87"/>
      <c r="G35" s="87"/>
      <c r="H35" s="87"/>
      <c r="I35" s="87"/>
      <c r="J35" s="87"/>
      <c r="K35" s="87"/>
      <c r="L35" s="87"/>
    </row>
    <row r="39" spans="2:25">
      <c r="B39" s="89" t="s">
        <v>5753</v>
      </c>
      <c r="C39" s="92" t="s">
        <v>2877</v>
      </c>
      <c r="D39" s="93"/>
      <c r="E39" s="93"/>
      <c r="F39" s="93"/>
      <c r="G39" s="93"/>
      <c r="H39" s="93"/>
      <c r="I39" s="94"/>
    </row>
    <row r="40" spans="2:25">
      <c r="B40" s="90"/>
      <c r="C40" s="95"/>
      <c r="D40" s="96"/>
      <c r="E40" s="96"/>
      <c r="F40" s="96"/>
      <c r="G40" s="96"/>
      <c r="H40" s="96"/>
      <c r="I40" s="97"/>
    </row>
    <row r="41" spans="2:25" ht="30">
      <c r="B41" s="91"/>
      <c r="C41" s="55" t="s">
        <v>5762</v>
      </c>
      <c r="D41" s="55" t="s">
        <v>5763</v>
      </c>
      <c r="E41" s="55" t="s">
        <v>5764</v>
      </c>
      <c r="F41" s="55" t="s">
        <v>5765</v>
      </c>
      <c r="G41" s="55" t="s">
        <v>3615</v>
      </c>
      <c r="H41" s="55" t="s">
        <v>3617</v>
      </c>
      <c r="I41" s="55" t="s">
        <v>3619</v>
      </c>
    </row>
    <row r="42" spans="2:25">
      <c r="B42" s="42" t="s">
        <v>3518</v>
      </c>
      <c r="C42" s="42" t="s">
        <v>3519</v>
      </c>
      <c r="D42" s="42" t="s">
        <v>3612</v>
      </c>
      <c r="E42" s="42" t="s">
        <v>3614</v>
      </c>
      <c r="F42" s="42" t="s">
        <v>3616</v>
      </c>
      <c r="G42" s="42" t="s">
        <v>3618</v>
      </c>
      <c r="H42" s="42" t="s">
        <v>3620</v>
      </c>
      <c r="I42" s="42" t="s">
        <v>3622</v>
      </c>
      <c r="X42" s="13" t="str">
        <f>Show!$B$167&amp;"S.30.02.01.03 Rows {"&amp;COLUMN($B$1)&amp;"}"&amp;"@ForceFilingCode:true"</f>
        <v>!S.30.02.01.03 Rows {2}@ForceFilingCode:true</v>
      </c>
      <c r="Y42" s="13" t="str">
        <f>Show!$B$167&amp;"S.30.02.01.03 Columns {"&amp;COLUMN($B$1)&amp;"}"</f>
        <v>!S.30.02.01.03 Columns {2}</v>
      </c>
    </row>
    <row r="43" spans="2:25">
      <c r="B43" s="50"/>
      <c r="C43" s="51"/>
      <c r="D43" s="51"/>
      <c r="E43" s="51"/>
      <c r="F43" s="51"/>
      <c r="G43" s="51"/>
      <c r="H43" s="51"/>
      <c r="I43" s="51"/>
    </row>
    <row r="45" spans="2:25">
      <c r="X45" s="13" t="str">
        <f>Show!$B$167&amp;Show!$B$167&amp;"S.30.02.01.03 Rows {"&amp;COLUMN($B$1)&amp;"}"</f>
        <v>!!S.30.02.01.03 Rows {2}</v>
      </c>
      <c r="Y45" s="13" t="str">
        <f>Show!$B$167&amp;Show!$B$167&amp;"S.30.02.01.03 Columns {"&amp;COLUMN($I$1)&amp;"}"</f>
        <v>!!S.30.02.01.03 Columns {9}</v>
      </c>
    </row>
    <row r="47" spans="2:25" ht="18.75">
      <c r="B47" s="88" t="s">
        <v>5766</v>
      </c>
      <c r="C47" s="87"/>
      <c r="D47" s="87"/>
      <c r="E47" s="87"/>
      <c r="F47" s="87"/>
      <c r="G47" s="87"/>
      <c r="H47" s="87"/>
      <c r="I47" s="87"/>
      <c r="J47" s="87"/>
      <c r="K47" s="87"/>
      <c r="L47" s="87"/>
    </row>
    <row r="51" spans="2:25">
      <c r="B51" s="89" t="s">
        <v>5754</v>
      </c>
      <c r="C51" s="89" t="s">
        <v>2877</v>
      </c>
    </row>
    <row r="52" spans="2:25">
      <c r="B52" s="90"/>
      <c r="C52" s="91"/>
    </row>
    <row r="53" spans="2:25">
      <c r="B53" s="91"/>
      <c r="C53" s="55" t="s">
        <v>5767</v>
      </c>
    </row>
    <row r="54" spans="2:25">
      <c r="B54" s="42" t="s">
        <v>3624</v>
      </c>
      <c r="C54" s="42" t="s">
        <v>3628</v>
      </c>
      <c r="X54" s="13" t="str">
        <f>Show!$B$167&amp;"S.30.02.01.04 Rows {"&amp;COLUMN($B$1)&amp;"}"&amp;"@ForceFilingCode:true"</f>
        <v>!S.30.02.01.04 Rows {2}@ForceFilingCode:true</v>
      </c>
      <c r="Y54" s="13" t="str">
        <f>Show!$B$167&amp;"S.30.02.01.04 Columns {"&amp;COLUMN($B$1)&amp;"}"</f>
        <v>!S.30.02.01.04 Columns {2}</v>
      </c>
    </row>
    <row r="55" spans="2:25">
      <c r="B55" s="50"/>
      <c r="C55" s="51"/>
    </row>
    <row r="57" spans="2:25">
      <c r="X57" s="13" t="str">
        <f>Show!$B$167&amp;Show!$B$167&amp;"S.30.02.01.04 Rows {"&amp;COLUMN($B$1)&amp;"}"</f>
        <v>!!S.30.02.01.04 Rows {2}</v>
      </c>
      <c r="Y57" s="13" t="str">
        <f>Show!$B$167&amp;Show!$B$167&amp;"S.30.02.01.04 Columns {"&amp;COLUMN($C$1)&amp;"}"</f>
        <v>!!S.30.02.01.04 Columns {3}</v>
      </c>
    </row>
  </sheetData>
  <sheetProtection sheet="1" objects="1" scenarios="1"/>
  <mergeCells count="21">
    <mergeCell ref="B2:O2"/>
    <mergeCell ref="B5:L5"/>
    <mergeCell ref="B12:B14"/>
    <mergeCell ref="C12:C14"/>
    <mergeCell ref="D12:D14"/>
    <mergeCell ref="E12:E14"/>
    <mergeCell ref="F12:F14"/>
    <mergeCell ref="G12:L13"/>
    <mergeCell ref="B20:L20"/>
    <mergeCell ref="B27:B29"/>
    <mergeCell ref="C27:C29"/>
    <mergeCell ref="D27:D29"/>
    <mergeCell ref="E27:E29"/>
    <mergeCell ref="F27:F29"/>
    <mergeCell ref="G27:L28"/>
    <mergeCell ref="B35:L35"/>
    <mergeCell ref="B39:B41"/>
    <mergeCell ref="C39:I40"/>
    <mergeCell ref="B47:L47"/>
    <mergeCell ref="B51:B53"/>
    <mergeCell ref="C51:C52"/>
  </mergeCells>
  <dataValidations count="7">
    <dataValidation type="list" errorStyle="warning" allowBlank="1" showInputMessage="1" showErrorMessage="1" sqref="D9" xr:uid="{3D8149D7-5821-43C3-B169-F032593D3502}">
      <formula1>hier_LB_33</formula1>
    </dataValidation>
    <dataValidation type="list" errorStyle="warning" allowBlank="1" showInputMessage="1" showErrorMessage="1" sqref="I16 I31" xr:uid="{DC21FAE0-4D9E-4FB6-80FD-7AC3AFB956E5}">
      <formula1>hier_CU_1</formula1>
    </dataValidation>
    <dataValidation type="list" errorStyle="warning" allowBlank="1" showInputMessage="1" showErrorMessage="1" sqref="D24" xr:uid="{21FD7B4F-3740-4BB3-A1DD-18D73EC2AE6C}">
      <formula1>hier_LB_50</formula1>
    </dataValidation>
    <dataValidation type="list" errorStyle="warning" allowBlank="1" showInputMessage="1" showErrorMessage="1" sqref="D43" xr:uid="{85CDFA9D-33FF-4FA9-AA2F-50075B86D8C3}">
      <formula1>hier_SE_14</formula1>
    </dataValidation>
    <dataValidation type="list" errorStyle="warning" allowBlank="1" showInputMessage="1" showErrorMessage="1" sqref="E43" xr:uid="{DD76DC15-6C76-4F64-8EAF-2B5F2A7447D5}">
      <formula1>hier_GA_18</formula1>
    </dataValidation>
    <dataValidation type="list" errorStyle="warning" allowBlank="1" showInputMessage="1" showErrorMessage="1" sqref="G43" xr:uid="{4768E21E-0F41-4512-9656-2EF1A93BB0C4}">
      <formula1>hier_SE_27</formula1>
    </dataValidation>
    <dataValidation type="list" errorStyle="warning" allowBlank="1" showInputMessage="1" showErrorMessage="1" sqref="H43" xr:uid="{0BB98FC7-959E-4D56-A0C6-2706568F60E1}">
      <formula1>hier_BR_3</formula1>
    </dataValidation>
  </dataValidations>
  <pageMargins left="0.7" right="0.7" top="0.75" bottom="0.75" header="0.3" footer="0.3"/>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5FCAA-FF58-4B6F-8DA4-2CD3D80129E9}">
  <sheetPr codeName="Blad172"/>
  <dimension ref="B2:BA15"/>
  <sheetViews>
    <sheetView showGridLines="0" workbookViewId="0"/>
  </sheetViews>
  <sheetFormatPr defaultRowHeight="15"/>
  <cols>
    <col min="2" max="2" width="24.85546875" bestFit="1" customWidth="1"/>
    <col min="3" max="5" width="15.7109375" customWidth="1"/>
    <col min="6" max="6" width="40.7109375" customWidth="1"/>
    <col min="7" max="7" width="15.7109375" customWidth="1"/>
    <col min="8" max="11" width="40.7109375" customWidth="1"/>
    <col min="12" max="13" width="15.7109375" customWidth="1"/>
    <col min="14" max="15" width="40.7109375" customWidth="1"/>
    <col min="16" max="26" width="15.7109375" customWidth="1"/>
    <col min="27" max="27" width="40.7109375" customWidth="1"/>
    <col min="28" max="38" width="15.7109375" customWidth="1"/>
    <col min="39" max="39" width="40.7109375" customWidth="1"/>
  </cols>
  <sheetData>
    <row r="2" spans="2:53" ht="23.25">
      <c r="B2" s="86" t="s">
        <v>764</v>
      </c>
      <c r="C2" s="87"/>
      <c r="D2" s="87"/>
      <c r="E2" s="87"/>
      <c r="F2" s="87"/>
      <c r="G2" s="87"/>
      <c r="H2" s="87"/>
      <c r="I2" s="87"/>
      <c r="J2" s="87"/>
      <c r="K2" s="87"/>
      <c r="L2" s="87"/>
      <c r="M2" s="87"/>
      <c r="N2" s="87"/>
      <c r="O2" s="87"/>
    </row>
    <row r="5" spans="2:53" ht="18.75">
      <c r="B5" s="88" t="s">
        <v>5768</v>
      </c>
      <c r="C5" s="87"/>
      <c r="D5" s="87"/>
      <c r="E5" s="87"/>
      <c r="F5" s="87"/>
      <c r="G5" s="87"/>
      <c r="H5" s="87"/>
      <c r="I5" s="87"/>
      <c r="J5" s="87"/>
      <c r="K5" s="87"/>
      <c r="L5" s="87"/>
    </row>
    <row r="9" spans="2:53">
      <c r="B9" s="89" t="s">
        <v>5744</v>
      </c>
      <c r="C9" s="89" t="s">
        <v>5769</v>
      </c>
      <c r="D9" s="89" t="s">
        <v>5770</v>
      </c>
      <c r="E9" s="89" t="s">
        <v>5771</v>
      </c>
      <c r="F9" s="89" t="s">
        <v>3427</v>
      </c>
      <c r="G9" s="92" t="s">
        <v>2877</v>
      </c>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4"/>
    </row>
    <row r="10" spans="2:53">
      <c r="B10" s="90"/>
      <c r="C10" s="90"/>
      <c r="D10" s="90"/>
      <c r="E10" s="90"/>
      <c r="F10" s="90"/>
      <c r="G10" s="95"/>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7"/>
    </row>
    <row r="11" spans="2:53" ht="90">
      <c r="B11" s="91"/>
      <c r="C11" s="91"/>
      <c r="D11" s="91"/>
      <c r="E11" s="91"/>
      <c r="F11" s="91"/>
      <c r="G11" s="55" t="s">
        <v>5772</v>
      </c>
      <c r="H11" s="55" t="s">
        <v>5746</v>
      </c>
      <c r="I11" s="55" t="s">
        <v>4222</v>
      </c>
      <c r="J11" s="55" t="s">
        <v>5773</v>
      </c>
      <c r="K11" s="55" t="s">
        <v>5774</v>
      </c>
      <c r="L11" s="55" t="s">
        <v>4223</v>
      </c>
      <c r="M11" s="55" t="s">
        <v>4224</v>
      </c>
      <c r="N11" s="55" t="s">
        <v>3606</v>
      </c>
      <c r="O11" s="55" t="s">
        <v>4227</v>
      </c>
      <c r="P11" s="55" t="s">
        <v>5775</v>
      </c>
      <c r="Q11" s="55" t="s">
        <v>5776</v>
      </c>
      <c r="R11" s="55" t="s">
        <v>5777</v>
      </c>
      <c r="S11" s="55" t="s">
        <v>5778</v>
      </c>
      <c r="T11" s="55" t="s">
        <v>5779</v>
      </c>
      <c r="U11" s="55" t="s">
        <v>5780</v>
      </c>
      <c r="V11" s="55" t="s">
        <v>5781</v>
      </c>
      <c r="W11" s="55" t="s">
        <v>5782</v>
      </c>
      <c r="X11" s="55" t="s">
        <v>5783</v>
      </c>
      <c r="Y11" s="55" t="s">
        <v>5784</v>
      </c>
      <c r="Z11" s="55" t="s">
        <v>5785</v>
      </c>
      <c r="AA11" s="55" t="s">
        <v>5786</v>
      </c>
      <c r="AB11" s="55" t="s">
        <v>5787</v>
      </c>
      <c r="AC11" s="55" t="s">
        <v>5788</v>
      </c>
      <c r="AD11" s="55" t="s">
        <v>5789</v>
      </c>
      <c r="AE11" s="55" t="s">
        <v>5790</v>
      </c>
      <c r="AF11" s="55" t="s">
        <v>5791</v>
      </c>
      <c r="AG11" s="55" t="s">
        <v>5792</v>
      </c>
      <c r="AH11" s="55" t="s">
        <v>5793</v>
      </c>
      <c r="AI11" s="55" t="s">
        <v>5794</v>
      </c>
      <c r="AJ11" s="55" t="s">
        <v>5795</v>
      </c>
      <c r="AK11" s="55" t="s">
        <v>5796</v>
      </c>
      <c r="AL11" s="55" t="s">
        <v>5797</v>
      </c>
      <c r="AM11" s="55" t="s">
        <v>5798</v>
      </c>
    </row>
    <row r="12" spans="2:53">
      <c r="B12" s="42" t="s">
        <v>2879</v>
      </c>
      <c r="C12" s="42" t="s">
        <v>3219</v>
      </c>
      <c r="D12" s="42" t="s">
        <v>3225</v>
      </c>
      <c r="E12" s="42" t="s">
        <v>3223</v>
      </c>
      <c r="F12" s="42" t="s">
        <v>3233</v>
      </c>
      <c r="G12" s="42" t="s">
        <v>3229</v>
      </c>
      <c r="H12" s="42" t="s">
        <v>3231</v>
      </c>
      <c r="I12" s="42" t="s">
        <v>3234</v>
      </c>
      <c r="J12" s="42" t="s">
        <v>3236</v>
      </c>
      <c r="K12" s="42" t="s">
        <v>3239</v>
      </c>
      <c r="L12" s="42" t="s">
        <v>3241</v>
      </c>
      <c r="M12" s="42" t="s">
        <v>3243</v>
      </c>
      <c r="N12" s="42" t="s">
        <v>3375</v>
      </c>
      <c r="O12" s="42" t="s">
        <v>3475</v>
      </c>
      <c r="P12" s="42" t="s">
        <v>3477</v>
      </c>
      <c r="Q12" s="42" t="s">
        <v>3479</v>
      </c>
      <c r="R12" s="42" t="s">
        <v>3594</v>
      </c>
      <c r="S12" s="42" t="s">
        <v>3596</v>
      </c>
      <c r="T12" s="42" t="s">
        <v>3599</v>
      </c>
      <c r="U12" s="42" t="s">
        <v>3481</v>
      </c>
      <c r="V12" s="42" t="s">
        <v>3508</v>
      </c>
      <c r="W12" s="42" t="s">
        <v>3509</v>
      </c>
      <c r="X12" s="42" t="s">
        <v>3511</v>
      </c>
      <c r="Y12" s="42" t="s">
        <v>3513</v>
      </c>
      <c r="Z12" s="42" t="s">
        <v>3514</v>
      </c>
      <c r="AA12" s="42" t="s">
        <v>3515</v>
      </c>
      <c r="AB12" s="42" t="s">
        <v>3517</v>
      </c>
      <c r="AC12" s="42" t="s">
        <v>3518</v>
      </c>
      <c r="AD12" s="42" t="s">
        <v>3608</v>
      </c>
      <c r="AE12" s="42" t="s">
        <v>3519</v>
      </c>
      <c r="AF12" s="42" t="s">
        <v>3612</v>
      </c>
      <c r="AG12" s="42" t="s">
        <v>3614</v>
      </c>
      <c r="AH12" s="42" t="s">
        <v>3616</v>
      </c>
      <c r="AI12" s="42" t="s">
        <v>3618</v>
      </c>
      <c r="AJ12" s="42" t="s">
        <v>3620</v>
      </c>
      <c r="AK12" s="42" t="s">
        <v>3622</v>
      </c>
      <c r="AL12" s="42" t="s">
        <v>3624</v>
      </c>
      <c r="AM12" s="42" t="s">
        <v>3626</v>
      </c>
      <c r="AZ12" s="13" t="str">
        <f>Show!$B$168&amp;"S.30.03.01.01 Rows {"&amp;COLUMN($B$1)&amp;"}"&amp;"@ForceFilingCode:true"</f>
        <v>!S.30.03.01.01 Rows {2}@ForceFilingCode:true</v>
      </c>
      <c r="BA12" s="13" t="str">
        <f>Show!$B$168&amp;"S.30.03.01.01 Columns {"&amp;COLUMN($B$1)&amp;"}"</f>
        <v>!S.30.03.01.01 Columns {2}</v>
      </c>
    </row>
    <row r="13" spans="2:53">
      <c r="B13" s="50"/>
      <c r="C13" s="50"/>
      <c r="D13" s="50"/>
      <c r="E13" s="50"/>
      <c r="F13" s="51"/>
      <c r="G13" s="50"/>
      <c r="H13" s="51"/>
      <c r="I13" s="51"/>
      <c r="J13" s="51"/>
      <c r="K13" s="51"/>
      <c r="L13" s="54"/>
      <c r="M13" s="54"/>
      <c r="N13" s="51"/>
      <c r="O13" s="51"/>
      <c r="P13" s="60"/>
      <c r="Q13" s="60"/>
      <c r="R13" s="60"/>
      <c r="S13" s="70"/>
      <c r="T13" s="60"/>
      <c r="U13" s="70"/>
      <c r="V13" s="60"/>
      <c r="W13" s="70"/>
      <c r="X13" s="60"/>
      <c r="Y13" s="60"/>
      <c r="Z13" s="50"/>
      <c r="AA13" s="51"/>
      <c r="AB13" s="70"/>
      <c r="AC13" s="70"/>
      <c r="AD13" s="70"/>
      <c r="AE13" s="70"/>
      <c r="AF13" s="70"/>
      <c r="AG13" s="70"/>
      <c r="AH13" s="70"/>
      <c r="AI13" s="70"/>
      <c r="AJ13" s="70"/>
      <c r="AK13" s="70"/>
      <c r="AL13" s="70"/>
      <c r="AM13" s="51"/>
    </row>
    <row r="15" spans="2:53">
      <c r="AZ15" s="13" t="str">
        <f>Show!$B$168&amp;Show!$B$168&amp;"S.30.03.01.01 Rows {"&amp;COLUMN($B$1)&amp;"}"</f>
        <v>!!S.30.03.01.01 Rows {2}</v>
      </c>
      <c r="BA15" s="13" t="str">
        <f>Show!$B$168&amp;Show!$B$168&amp;"S.30.03.01.01 Columns {"&amp;COLUMN($AM$1)&amp;"}"</f>
        <v>!!S.30.03.01.01 Columns {39}</v>
      </c>
    </row>
  </sheetData>
  <sheetProtection sheet="1" objects="1" scenarios="1"/>
  <mergeCells count="8">
    <mergeCell ref="B2:O2"/>
    <mergeCell ref="B5:L5"/>
    <mergeCell ref="B9:B11"/>
    <mergeCell ref="C9:C11"/>
    <mergeCell ref="D9:D11"/>
    <mergeCell ref="E9:E11"/>
    <mergeCell ref="F9:F11"/>
    <mergeCell ref="G9:AM10"/>
  </mergeCells>
  <dataValidations count="7">
    <dataValidation type="list" errorStyle="warning" allowBlank="1" showInputMessage="1" showErrorMessage="1" sqref="F13" xr:uid="{34005886-0395-4B20-B2CE-285EFED9A0A8}">
      <formula1>hier_LB_49</formula1>
    </dataValidation>
    <dataValidation type="list" errorStyle="warning" allowBlank="1" showInputMessage="1" showErrorMessage="1" sqref="H13" xr:uid="{15800111-4D07-4A58-9957-964C8497502B}">
      <formula1>hier_TB_4</formula1>
    </dataValidation>
    <dataValidation type="list" errorStyle="warning" allowBlank="1" showInputMessage="1" showErrorMessage="1" sqref="J13" xr:uid="{206CF8FD-5365-451E-8F62-B184B7B96294}">
      <formula1>hier_TB_11</formula1>
    </dataValidation>
    <dataValidation type="date" operator="greaterThan" allowBlank="1" showInputMessage="1" showErrorMessage="1" errorTitle="Date value" error="This cell can only contain dates" sqref="L13:M13" xr:uid="{EBF47F84-5535-4080-A64D-BA8349F7D197}">
      <formula1>1</formula1>
    </dataValidation>
    <dataValidation type="list" errorStyle="warning" allowBlank="1" showInputMessage="1" showErrorMessage="1" sqref="N13" xr:uid="{FCFFF52D-DDF8-4BF5-82E2-99D2B858D9CF}">
      <formula1>hier_CU_1</formula1>
    </dataValidation>
    <dataValidation type="list" errorStyle="warning" allowBlank="1" showInputMessage="1" showErrorMessage="1" sqref="O13" xr:uid="{6993F8C8-D7A7-462F-8CF1-DF341EC77FF8}">
      <formula1>hier_TB_3</formula1>
    </dataValidation>
    <dataValidation type="list" errorStyle="warning" allowBlank="1" showInputMessage="1" showErrorMessage="1" sqref="AM13" xr:uid="{3E96A23E-25C5-4497-AB2B-310619910E13}">
      <formula1>hier_AM_7</formula1>
    </dataValidation>
  </dataValidations>
  <pageMargins left="0.7" right="0.7" top="0.75" bottom="0.75" header="0.3" footer="0.3"/>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B7AD6-FF25-4A9F-99A6-CDBD27A6D6C7}">
  <sheetPr codeName="Blad173"/>
  <dimension ref="B2:AG39"/>
  <sheetViews>
    <sheetView showGridLines="0" workbookViewId="0"/>
  </sheetViews>
  <sheetFormatPr defaultRowHeight="15"/>
  <cols>
    <col min="2" max="2" width="35.85546875" bestFit="1" customWidth="1"/>
    <col min="3" max="10" width="40.7109375" customWidth="1"/>
    <col min="11" max="12" width="15.7109375" customWidth="1"/>
    <col min="13" max="14" width="40.7109375" customWidth="1"/>
    <col min="15" max="15" width="15.7109375" customWidth="1"/>
    <col min="16" max="17" width="40.7109375" customWidth="1"/>
  </cols>
  <sheetData>
    <row r="2" spans="2:33" ht="23.25">
      <c r="B2" s="86" t="s">
        <v>766</v>
      </c>
      <c r="C2" s="87"/>
      <c r="D2" s="87"/>
      <c r="E2" s="87"/>
      <c r="F2" s="87"/>
      <c r="G2" s="87"/>
      <c r="H2" s="87"/>
      <c r="I2" s="87"/>
      <c r="J2" s="87"/>
      <c r="K2" s="87"/>
      <c r="L2" s="87"/>
      <c r="M2" s="87"/>
      <c r="N2" s="87"/>
      <c r="O2" s="87"/>
    </row>
    <row r="5" spans="2:33" ht="18.75">
      <c r="B5" s="88" t="s">
        <v>5799</v>
      </c>
      <c r="C5" s="87"/>
      <c r="D5" s="87"/>
      <c r="E5" s="87"/>
      <c r="F5" s="87"/>
      <c r="G5" s="87"/>
      <c r="H5" s="87"/>
      <c r="I5" s="87"/>
      <c r="J5" s="87"/>
      <c r="K5" s="87"/>
      <c r="L5" s="87"/>
    </row>
    <row r="9" spans="2:33">
      <c r="B9" s="89" t="s">
        <v>3374</v>
      </c>
      <c r="C9" s="89" t="s">
        <v>5744</v>
      </c>
      <c r="D9" s="89" t="s">
        <v>5769</v>
      </c>
      <c r="E9" s="89" t="s">
        <v>5770</v>
      </c>
      <c r="F9" s="89" t="s">
        <v>5771</v>
      </c>
      <c r="G9" s="89" t="s">
        <v>5753</v>
      </c>
      <c r="H9" s="89" t="s">
        <v>5800</v>
      </c>
      <c r="I9" s="89" t="s">
        <v>5754</v>
      </c>
      <c r="J9" s="92" t="s">
        <v>2877</v>
      </c>
      <c r="K9" s="93"/>
      <c r="L9" s="93"/>
      <c r="M9" s="93"/>
      <c r="N9" s="93"/>
      <c r="O9" s="93"/>
      <c r="P9" s="93"/>
      <c r="Q9" s="94"/>
    </row>
    <row r="10" spans="2:33">
      <c r="B10" s="90"/>
      <c r="C10" s="90"/>
      <c r="D10" s="90"/>
      <c r="E10" s="90"/>
      <c r="F10" s="90"/>
      <c r="G10" s="90"/>
      <c r="H10" s="90"/>
      <c r="I10" s="90"/>
      <c r="J10" s="95"/>
      <c r="K10" s="96"/>
      <c r="L10" s="96"/>
      <c r="M10" s="96"/>
      <c r="N10" s="96"/>
      <c r="O10" s="96"/>
      <c r="P10" s="96"/>
      <c r="Q10" s="97"/>
    </row>
    <row r="11" spans="2:33" ht="90">
      <c r="B11" s="91"/>
      <c r="C11" s="91"/>
      <c r="D11" s="91"/>
      <c r="E11" s="91"/>
      <c r="F11" s="91"/>
      <c r="G11" s="91"/>
      <c r="H11" s="91"/>
      <c r="I11" s="91"/>
      <c r="J11" s="55" t="s">
        <v>5755</v>
      </c>
      <c r="K11" s="55" t="s">
        <v>5756</v>
      </c>
      <c r="L11" s="55" t="s">
        <v>5801</v>
      </c>
      <c r="M11" s="55" t="s">
        <v>5802</v>
      </c>
      <c r="N11" s="55" t="s">
        <v>5803</v>
      </c>
      <c r="O11" s="55" t="s">
        <v>5804</v>
      </c>
      <c r="P11" s="55" t="s">
        <v>5759</v>
      </c>
      <c r="Q11" s="55" t="s">
        <v>5805</v>
      </c>
    </row>
    <row r="12" spans="2:33">
      <c r="B12" s="42" t="s">
        <v>3581</v>
      </c>
      <c r="C12" s="42" t="s">
        <v>2879</v>
      </c>
      <c r="D12" s="42" t="s">
        <v>3219</v>
      </c>
      <c r="E12" s="42" t="s">
        <v>3225</v>
      </c>
      <c r="F12" s="42" t="s">
        <v>3223</v>
      </c>
      <c r="G12" s="42" t="s">
        <v>3229</v>
      </c>
      <c r="H12" s="42" t="s">
        <v>3475</v>
      </c>
      <c r="I12" s="42" t="s">
        <v>3233</v>
      </c>
      <c r="J12" s="42" t="s">
        <v>3236</v>
      </c>
      <c r="K12" s="42" t="s">
        <v>3239</v>
      </c>
      <c r="L12" s="42" t="s">
        <v>3241</v>
      </c>
      <c r="M12" s="42" t="s">
        <v>3243</v>
      </c>
      <c r="N12" s="42" t="s">
        <v>3375</v>
      </c>
      <c r="O12" s="42" t="s">
        <v>3479</v>
      </c>
      <c r="P12" s="42" t="s">
        <v>3594</v>
      </c>
      <c r="Q12" s="42" t="s">
        <v>3614</v>
      </c>
      <c r="AF12" s="13" t="str">
        <f>Show!$B$169&amp;"S.30.04.01.01 Rows {"&amp;COLUMN($B$1)&amp;"}"&amp;"@ForceFilingCode:true"</f>
        <v>!S.30.04.01.01 Rows {2}@ForceFilingCode:true</v>
      </c>
      <c r="AG12" s="13" t="str">
        <f>Show!$B$169&amp;"S.30.04.01.01 Columns {"&amp;COLUMN($B$1)&amp;"}"</f>
        <v>!S.30.04.01.01 Columns {2}</v>
      </c>
    </row>
    <row r="13" spans="2:33">
      <c r="B13" s="50"/>
      <c r="C13" s="50"/>
      <c r="D13" s="50"/>
      <c r="E13" s="50"/>
      <c r="F13" s="50"/>
      <c r="G13" s="50"/>
      <c r="H13" s="50"/>
      <c r="I13" s="50"/>
      <c r="J13" s="51"/>
      <c r="K13" s="70"/>
      <c r="L13" s="60"/>
      <c r="M13" s="51"/>
      <c r="N13" s="51"/>
      <c r="O13" s="60"/>
      <c r="P13" s="51"/>
      <c r="Q13" s="51"/>
    </row>
    <row r="15" spans="2:33">
      <c r="AF15" s="13" t="str">
        <f>Show!$B$169&amp;Show!$B$169&amp;"S.30.04.01.01 Rows {"&amp;COLUMN($B$1)&amp;"}"</f>
        <v>!!S.30.04.01.01 Rows {2}</v>
      </c>
      <c r="AG15" s="13" t="str">
        <f>Show!$B$169&amp;Show!$B$169&amp;"S.30.04.01.01 Columns {"&amp;COLUMN($Q$1)&amp;"}"</f>
        <v>!!S.30.04.01.01 Columns {17}</v>
      </c>
    </row>
    <row r="17" spans="2:33" ht="18.75">
      <c r="B17" s="88" t="s">
        <v>5806</v>
      </c>
      <c r="C17" s="87"/>
      <c r="D17" s="87"/>
      <c r="E17" s="87"/>
      <c r="F17" s="87"/>
      <c r="G17" s="87"/>
      <c r="H17" s="87"/>
      <c r="I17" s="87"/>
      <c r="J17" s="87"/>
      <c r="K17" s="87"/>
      <c r="L17" s="87"/>
    </row>
    <row r="21" spans="2:33">
      <c r="B21" s="89" t="s">
        <v>5753</v>
      </c>
      <c r="C21" s="92" t="s">
        <v>2877</v>
      </c>
      <c r="D21" s="93"/>
      <c r="E21" s="93"/>
      <c r="F21" s="93"/>
      <c r="G21" s="93"/>
      <c r="H21" s="93"/>
      <c r="I21" s="94"/>
    </row>
    <row r="22" spans="2:33">
      <c r="B22" s="90"/>
      <c r="C22" s="95"/>
      <c r="D22" s="96"/>
      <c r="E22" s="96"/>
      <c r="F22" s="96"/>
      <c r="G22" s="96"/>
      <c r="H22" s="96"/>
      <c r="I22" s="97"/>
    </row>
    <row r="23" spans="2:33" ht="30">
      <c r="B23" s="91"/>
      <c r="C23" s="55" t="s">
        <v>5762</v>
      </c>
      <c r="D23" s="55" t="s">
        <v>5763</v>
      </c>
      <c r="E23" s="55" t="s">
        <v>5764</v>
      </c>
      <c r="F23" s="55" t="s">
        <v>5765</v>
      </c>
      <c r="G23" s="55" t="s">
        <v>3615</v>
      </c>
      <c r="H23" s="55" t="s">
        <v>3617</v>
      </c>
      <c r="I23" s="55" t="s">
        <v>3619</v>
      </c>
    </row>
    <row r="24" spans="2:33">
      <c r="B24" s="42" t="s">
        <v>3596</v>
      </c>
      <c r="C24" s="42" t="s">
        <v>3481</v>
      </c>
      <c r="D24" s="42" t="s">
        <v>3508</v>
      </c>
      <c r="E24" s="42" t="s">
        <v>3509</v>
      </c>
      <c r="F24" s="42" t="s">
        <v>3511</v>
      </c>
      <c r="G24" s="42" t="s">
        <v>3513</v>
      </c>
      <c r="H24" s="42" t="s">
        <v>3514</v>
      </c>
      <c r="I24" s="42" t="s">
        <v>3515</v>
      </c>
      <c r="AF24" s="13" t="str">
        <f>Show!$B$169&amp;"S.30.04.01.02 Rows {"&amp;COLUMN($B$1)&amp;"}"&amp;"@ForceFilingCode:true"</f>
        <v>!S.30.04.01.02 Rows {2}@ForceFilingCode:true</v>
      </c>
      <c r="AG24" s="13" t="str">
        <f>Show!$B$169&amp;"S.30.04.01.02 Columns {"&amp;COLUMN($B$1)&amp;"}"</f>
        <v>!S.30.04.01.02 Columns {2}</v>
      </c>
    </row>
    <row r="25" spans="2:33">
      <c r="B25" s="50"/>
      <c r="C25" s="51"/>
      <c r="D25" s="51"/>
      <c r="E25" s="51"/>
      <c r="F25" s="51"/>
      <c r="G25" s="51"/>
      <c r="H25" s="51"/>
      <c r="I25" s="51"/>
    </row>
    <row r="27" spans="2:33">
      <c r="AF27" s="13" t="str">
        <f>Show!$B$169&amp;Show!$B$169&amp;"S.30.04.01.02 Rows {"&amp;COLUMN($B$1)&amp;"}"</f>
        <v>!!S.30.04.01.02 Rows {2}</v>
      </c>
      <c r="AG27" s="13" t="str">
        <f>Show!$B$169&amp;Show!$B$169&amp;"S.30.04.01.02 Columns {"&amp;COLUMN($I$1)&amp;"}"</f>
        <v>!!S.30.04.01.02 Columns {9}</v>
      </c>
    </row>
    <row r="29" spans="2:33" ht="18.75">
      <c r="B29" s="88" t="s">
        <v>5807</v>
      </c>
      <c r="C29" s="87"/>
      <c r="D29" s="87"/>
      <c r="E29" s="87"/>
      <c r="F29" s="87"/>
      <c r="G29" s="87"/>
      <c r="H29" s="87"/>
      <c r="I29" s="87"/>
      <c r="J29" s="87"/>
      <c r="K29" s="87"/>
      <c r="L29" s="87"/>
    </row>
    <row r="33" spans="2:33">
      <c r="B33" s="89" t="s">
        <v>5754</v>
      </c>
      <c r="C33" s="89" t="s">
        <v>2877</v>
      </c>
    </row>
    <row r="34" spans="2:33">
      <c r="B34" s="90"/>
      <c r="C34" s="91"/>
    </row>
    <row r="35" spans="2:33">
      <c r="B35" s="91"/>
      <c r="C35" s="55" t="s">
        <v>5767</v>
      </c>
    </row>
    <row r="36" spans="2:33">
      <c r="B36" s="42" t="s">
        <v>3517</v>
      </c>
      <c r="C36" s="42" t="s">
        <v>3608</v>
      </c>
      <c r="AF36" s="13" t="str">
        <f>Show!$B$169&amp;"S.30.04.01.03 Rows {"&amp;COLUMN($B$1)&amp;"}"&amp;"@ForceFilingCode:true"</f>
        <v>!S.30.04.01.03 Rows {2}@ForceFilingCode:true</v>
      </c>
      <c r="AG36" s="13" t="str">
        <f>Show!$B$169&amp;"S.30.04.01.03 Columns {"&amp;COLUMN($B$1)&amp;"}"</f>
        <v>!S.30.04.01.03 Columns {2}</v>
      </c>
    </row>
    <row r="37" spans="2:33">
      <c r="B37" s="50"/>
      <c r="C37" s="51"/>
    </row>
    <row r="39" spans="2:33">
      <c r="AF39" s="13" t="str">
        <f>Show!$B$169&amp;Show!$B$169&amp;"S.30.04.01.03 Rows {"&amp;COLUMN($B$1)&amp;"}"</f>
        <v>!!S.30.04.01.03 Rows {2}</v>
      </c>
      <c r="AG39" s="13" t="str">
        <f>Show!$B$169&amp;Show!$B$169&amp;"S.30.04.01.03 Columns {"&amp;COLUMN($C$1)&amp;"}"</f>
        <v>!!S.30.04.01.03 Columns {3}</v>
      </c>
    </row>
  </sheetData>
  <sheetProtection sheet="1" objects="1" scenarios="1"/>
  <mergeCells count="17">
    <mergeCell ref="B17:L17"/>
    <mergeCell ref="B2:O2"/>
    <mergeCell ref="B5:L5"/>
    <mergeCell ref="B9:B11"/>
    <mergeCell ref="C9:C11"/>
    <mergeCell ref="D9:D11"/>
    <mergeCell ref="E9:E11"/>
    <mergeCell ref="F9:F11"/>
    <mergeCell ref="G9:G11"/>
    <mergeCell ref="H9:H11"/>
    <mergeCell ref="I9:I11"/>
    <mergeCell ref="J9:Q10"/>
    <mergeCell ref="B21:B23"/>
    <mergeCell ref="C21:I22"/>
    <mergeCell ref="B29:L29"/>
    <mergeCell ref="B33:B35"/>
    <mergeCell ref="C33:C34"/>
  </mergeCells>
  <dataValidations count="5">
    <dataValidation type="list" errorStyle="warning" allowBlank="1" showInputMessage="1" showErrorMessage="1" sqref="M13" xr:uid="{BBF99DEF-055C-4661-AB4E-D04FA906EDAE}">
      <formula1>hier_MC_18</formula1>
    </dataValidation>
    <dataValidation type="list" errorStyle="warning" allowBlank="1" showInputMessage="1" showErrorMessage="1" sqref="D25" xr:uid="{A9A3CC3B-3443-44F0-8638-AA109D1B19F6}">
      <formula1>hier_SE_14</formula1>
    </dataValidation>
    <dataValidation type="list" errorStyle="warning" allowBlank="1" showInputMessage="1" showErrorMessage="1" sqref="E25" xr:uid="{8D78D790-6ACC-4E56-9A14-5B177BC342E1}">
      <formula1>hier_GA_18</formula1>
    </dataValidation>
    <dataValidation type="list" errorStyle="warning" allowBlank="1" showInputMessage="1" showErrorMessage="1" sqref="G25" xr:uid="{89C0B80B-53C7-4509-82C9-286760E6164F}">
      <formula1>hier_SE_27</formula1>
    </dataValidation>
    <dataValidation type="list" errorStyle="warning" allowBlank="1" showInputMessage="1" showErrorMessage="1" sqref="H25" xr:uid="{3F9E3A2E-488E-43F5-BD77-3A860E0BEDBE}">
      <formula1>hier_BR_3</formula1>
    </dataValidation>
  </dataValidations>
  <pageMargins left="0.7" right="0.7" top="0.75" bottom="0.75" header="0.3" footer="0.3"/>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52F24-EBF1-4CD0-8850-C2A869813AD3}">
  <sheetPr codeName="Blad174"/>
  <dimension ref="B2:U27"/>
  <sheetViews>
    <sheetView showGridLines="0" workbookViewId="0"/>
  </sheetViews>
  <sheetFormatPr defaultRowHeight="15"/>
  <cols>
    <col min="2" max="2" width="35.85546875" bestFit="1" customWidth="1"/>
    <col min="3" max="9" width="40.7109375" customWidth="1"/>
    <col min="10" max="12" width="15.7109375" customWidth="1"/>
  </cols>
  <sheetData>
    <row r="2" spans="2:21" ht="23.25">
      <c r="B2" s="86" t="s">
        <v>768</v>
      </c>
      <c r="C2" s="87"/>
      <c r="D2" s="87"/>
      <c r="E2" s="87"/>
      <c r="F2" s="87"/>
      <c r="G2" s="87"/>
      <c r="H2" s="87"/>
      <c r="I2" s="87"/>
      <c r="J2" s="87"/>
      <c r="K2" s="87"/>
      <c r="L2" s="87"/>
      <c r="M2" s="87"/>
      <c r="N2" s="87"/>
      <c r="O2" s="87"/>
    </row>
    <row r="5" spans="2:21" ht="18.75">
      <c r="B5" s="88" t="s">
        <v>5808</v>
      </c>
      <c r="C5" s="87"/>
      <c r="D5" s="87"/>
      <c r="E5" s="87"/>
      <c r="F5" s="87"/>
      <c r="G5" s="87"/>
      <c r="H5" s="87"/>
      <c r="I5" s="87"/>
      <c r="J5" s="87"/>
      <c r="K5" s="87"/>
      <c r="L5" s="87"/>
    </row>
    <row r="9" spans="2:21">
      <c r="B9" s="89" t="s">
        <v>5753</v>
      </c>
      <c r="C9" s="92" t="s">
        <v>2877</v>
      </c>
      <c r="D9" s="93"/>
      <c r="E9" s="93"/>
      <c r="F9" s="93"/>
      <c r="G9" s="93"/>
      <c r="H9" s="93"/>
      <c r="I9" s="93"/>
      <c r="J9" s="93"/>
      <c r="K9" s="93"/>
      <c r="L9" s="94"/>
    </row>
    <row r="10" spans="2:21">
      <c r="B10" s="90"/>
      <c r="C10" s="95"/>
      <c r="D10" s="96"/>
      <c r="E10" s="96"/>
      <c r="F10" s="96"/>
      <c r="G10" s="96"/>
      <c r="H10" s="96"/>
      <c r="I10" s="96"/>
      <c r="J10" s="96"/>
      <c r="K10" s="96"/>
      <c r="L10" s="97"/>
    </row>
    <row r="11" spans="2:21" ht="45">
      <c r="B11" s="91"/>
      <c r="C11" s="55" t="s">
        <v>5809</v>
      </c>
      <c r="D11" s="55" t="s">
        <v>5810</v>
      </c>
      <c r="E11" s="55" t="s">
        <v>5811</v>
      </c>
      <c r="F11" s="55" t="s">
        <v>5812</v>
      </c>
      <c r="G11" s="55" t="s">
        <v>5813</v>
      </c>
      <c r="H11" s="55" t="s">
        <v>5814</v>
      </c>
      <c r="I11" s="55" t="s">
        <v>5815</v>
      </c>
      <c r="J11" s="55" t="s">
        <v>5816</v>
      </c>
      <c r="K11" s="55" t="s">
        <v>5817</v>
      </c>
      <c r="L11" s="55" t="s">
        <v>5818</v>
      </c>
    </row>
    <row r="12" spans="2:21">
      <c r="B12" s="42" t="s">
        <v>3223</v>
      </c>
      <c r="C12" s="42" t="s">
        <v>3231</v>
      </c>
      <c r="D12" s="42" t="s">
        <v>3233</v>
      </c>
      <c r="E12" s="42" t="s">
        <v>3234</v>
      </c>
      <c r="F12" s="42" t="s">
        <v>3236</v>
      </c>
      <c r="G12" s="42" t="s">
        <v>3239</v>
      </c>
      <c r="H12" s="42" t="s">
        <v>3241</v>
      </c>
      <c r="I12" s="42" t="s">
        <v>3243</v>
      </c>
      <c r="J12" s="42" t="s">
        <v>3375</v>
      </c>
      <c r="K12" s="42" t="s">
        <v>3475</v>
      </c>
      <c r="L12" s="42" t="s">
        <v>3477</v>
      </c>
      <c r="T12" s="13" t="str">
        <f>Show!$B$170&amp;"S.31.01.01.01 Rows {"&amp;COLUMN($B$1)&amp;"}"&amp;"@ForceFilingCode:true"</f>
        <v>!S.31.01.01.01 Rows {2}@ForceFilingCode:true</v>
      </c>
      <c r="U12" s="13" t="str">
        <f>Show!$B$170&amp;"S.31.01.01.01 Columns {"&amp;COLUMN($B$1)&amp;"}"</f>
        <v>!S.31.01.01.01 Columns {2}</v>
      </c>
    </row>
    <row r="13" spans="2:21">
      <c r="B13" s="50"/>
      <c r="C13" s="60"/>
      <c r="D13" s="60"/>
      <c r="E13" s="60"/>
      <c r="F13" s="60"/>
      <c r="G13" s="60"/>
      <c r="H13" s="60"/>
      <c r="I13" s="60"/>
      <c r="J13" s="60"/>
      <c r="K13" s="60"/>
      <c r="L13" s="60"/>
    </row>
    <row r="15" spans="2:21">
      <c r="T15" s="13" t="str">
        <f>Show!$B$170&amp;Show!$B$170&amp;"S.31.01.01.01 Rows {"&amp;COLUMN($B$1)&amp;"}"</f>
        <v>!!S.31.01.01.01 Rows {2}</v>
      </c>
      <c r="U15" s="13" t="str">
        <f>Show!$B$170&amp;Show!$B$170&amp;"S.31.01.01.01 Columns {"&amp;COLUMN($L$1)&amp;"}"</f>
        <v>!!S.31.01.01.01 Columns {12}</v>
      </c>
    </row>
    <row r="17" spans="2:21" ht="18.75">
      <c r="B17" s="88" t="s">
        <v>5819</v>
      </c>
      <c r="C17" s="87"/>
      <c r="D17" s="87"/>
      <c r="E17" s="87"/>
      <c r="F17" s="87"/>
      <c r="G17" s="87"/>
      <c r="H17" s="87"/>
      <c r="I17" s="87"/>
      <c r="J17" s="87"/>
      <c r="K17" s="87"/>
      <c r="L17" s="87"/>
    </row>
    <row r="21" spans="2:21">
      <c r="B21" s="89" t="s">
        <v>5753</v>
      </c>
      <c r="C21" s="92" t="s">
        <v>2877</v>
      </c>
      <c r="D21" s="93"/>
      <c r="E21" s="93"/>
      <c r="F21" s="93"/>
      <c r="G21" s="93"/>
      <c r="H21" s="93"/>
      <c r="I21" s="94"/>
    </row>
    <row r="22" spans="2:21">
      <c r="B22" s="90"/>
      <c r="C22" s="95"/>
      <c r="D22" s="96"/>
      <c r="E22" s="96"/>
      <c r="F22" s="96"/>
      <c r="G22" s="96"/>
      <c r="H22" s="96"/>
      <c r="I22" s="97"/>
    </row>
    <row r="23" spans="2:21" ht="30">
      <c r="B23" s="91"/>
      <c r="C23" s="55" t="s">
        <v>5762</v>
      </c>
      <c r="D23" s="55" t="s">
        <v>5763</v>
      </c>
      <c r="E23" s="55" t="s">
        <v>5764</v>
      </c>
      <c r="F23" s="55" t="s">
        <v>5765</v>
      </c>
      <c r="G23" s="55" t="s">
        <v>3615</v>
      </c>
      <c r="H23" s="55" t="s">
        <v>3617</v>
      </c>
      <c r="I23" s="55" t="s">
        <v>3619</v>
      </c>
    </row>
    <row r="24" spans="2:21">
      <c r="B24" s="42" t="s">
        <v>3479</v>
      </c>
      <c r="C24" s="42" t="s">
        <v>3596</v>
      </c>
      <c r="D24" s="42" t="s">
        <v>3599</v>
      </c>
      <c r="E24" s="42" t="s">
        <v>3481</v>
      </c>
      <c r="F24" s="42" t="s">
        <v>3508</v>
      </c>
      <c r="G24" s="42" t="s">
        <v>3509</v>
      </c>
      <c r="H24" s="42" t="s">
        <v>3511</v>
      </c>
      <c r="I24" s="42" t="s">
        <v>3513</v>
      </c>
      <c r="T24" s="13" t="str">
        <f>Show!$B$170&amp;"S.31.01.01.02 Rows {"&amp;COLUMN($B$1)&amp;"}"&amp;"@ForceFilingCode:true"</f>
        <v>!S.31.01.01.02 Rows {2}@ForceFilingCode:true</v>
      </c>
      <c r="U24" s="13" t="str">
        <f>Show!$B$170&amp;"S.31.01.01.02 Columns {"&amp;COLUMN($B$1)&amp;"}"</f>
        <v>!S.31.01.01.02 Columns {2}</v>
      </c>
    </row>
    <row r="25" spans="2:21">
      <c r="B25" s="50"/>
      <c r="C25" s="51"/>
      <c r="D25" s="51"/>
      <c r="E25" s="51"/>
      <c r="F25" s="51"/>
      <c r="G25" s="51"/>
      <c r="H25" s="51"/>
      <c r="I25" s="51"/>
    </row>
    <row r="27" spans="2:21">
      <c r="T27" s="13" t="str">
        <f>Show!$B$170&amp;Show!$B$170&amp;"S.31.01.01.02 Rows {"&amp;COLUMN($B$1)&amp;"}"</f>
        <v>!!S.31.01.01.02 Rows {2}</v>
      </c>
      <c r="U27" s="13" t="str">
        <f>Show!$B$170&amp;Show!$B$170&amp;"S.31.01.01.02 Columns {"&amp;COLUMN($I$1)&amp;"}"</f>
        <v>!!S.31.01.01.02 Columns {9}</v>
      </c>
    </row>
  </sheetData>
  <sheetProtection sheet="1" objects="1" scenarios="1"/>
  <mergeCells count="7">
    <mergeCell ref="B21:B23"/>
    <mergeCell ref="C21:I22"/>
    <mergeCell ref="B2:O2"/>
    <mergeCell ref="B5:L5"/>
    <mergeCell ref="B9:B11"/>
    <mergeCell ref="C9:L10"/>
    <mergeCell ref="B17:L17"/>
  </mergeCells>
  <dataValidations count="4">
    <dataValidation type="list" errorStyle="warning" allowBlank="1" showInputMessage="1" showErrorMessage="1" sqref="D25" xr:uid="{86B23596-7DA4-4133-A27F-348524B10C61}">
      <formula1>hier_SE_14</formula1>
    </dataValidation>
    <dataValidation type="list" errorStyle="warning" allowBlank="1" showInputMessage="1" showErrorMessage="1" sqref="E25" xr:uid="{88B9B056-B013-4002-9C91-17B5E21FB363}">
      <formula1>hier_GA_18</formula1>
    </dataValidation>
    <dataValidation type="list" errorStyle="warning" allowBlank="1" showInputMessage="1" showErrorMessage="1" sqref="G25" xr:uid="{4D5AE192-80BF-4AAA-8F3D-771C989C210A}">
      <formula1>hier_SE_27</formula1>
    </dataValidation>
    <dataValidation type="list" errorStyle="warning" allowBlank="1" showInputMessage="1" showErrorMessage="1" sqref="H25" xr:uid="{A430C745-A1E3-40B9-9C3C-534B51EA3C94}">
      <formula1>hier_BR_3</formula1>
    </dataValidation>
  </dataValidations>
  <pageMargins left="0.7" right="0.7" top="0.75" bottom="0.75" header="0.3" footer="0.3"/>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63496-4B6B-4203-962A-FC199A2E29FD}">
  <sheetPr codeName="Blad175"/>
  <dimension ref="B2:X27"/>
  <sheetViews>
    <sheetView showGridLines="0" workbookViewId="0"/>
  </sheetViews>
  <sheetFormatPr defaultRowHeight="15"/>
  <cols>
    <col min="2" max="2" width="51.140625" bestFit="1" customWidth="1"/>
    <col min="3" max="9" width="40.7109375" customWidth="1"/>
    <col min="10" max="14" width="15.7109375" customWidth="1"/>
  </cols>
  <sheetData>
    <row r="2" spans="2:24" ht="23.25">
      <c r="B2" s="86" t="s">
        <v>768</v>
      </c>
      <c r="C2" s="87"/>
      <c r="D2" s="87"/>
      <c r="E2" s="87"/>
      <c r="F2" s="87"/>
      <c r="G2" s="87"/>
      <c r="H2" s="87"/>
      <c r="I2" s="87"/>
      <c r="J2" s="87"/>
      <c r="K2" s="87"/>
      <c r="L2" s="87"/>
      <c r="M2" s="87"/>
      <c r="N2" s="87"/>
      <c r="O2" s="87"/>
    </row>
    <row r="5" spans="2:24" ht="18.75">
      <c r="B5" s="88" t="s">
        <v>5820</v>
      </c>
      <c r="C5" s="87"/>
      <c r="D5" s="87"/>
      <c r="E5" s="87"/>
      <c r="F5" s="87"/>
      <c r="G5" s="87"/>
      <c r="H5" s="87"/>
      <c r="I5" s="87"/>
      <c r="J5" s="87"/>
      <c r="K5" s="87"/>
      <c r="L5" s="87"/>
    </row>
    <row r="9" spans="2:24">
      <c r="B9" s="89" t="s">
        <v>3245</v>
      </c>
      <c r="C9" s="89" t="s">
        <v>5753</v>
      </c>
      <c r="D9" s="92" t="s">
        <v>2877</v>
      </c>
      <c r="E9" s="93"/>
      <c r="F9" s="93"/>
      <c r="G9" s="93"/>
      <c r="H9" s="93"/>
      <c r="I9" s="93"/>
      <c r="J9" s="93"/>
      <c r="K9" s="93"/>
      <c r="L9" s="93"/>
      <c r="M9" s="93"/>
      <c r="N9" s="94"/>
    </row>
    <row r="10" spans="2:24">
      <c r="B10" s="90"/>
      <c r="C10" s="90"/>
      <c r="D10" s="95"/>
      <c r="E10" s="96"/>
      <c r="F10" s="96"/>
      <c r="G10" s="96"/>
      <c r="H10" s="96"/>
      <c r="I10" s="96"/>
      <c r="J10" s="96"/>
      <c r="K10" s="96"/>
      <c r="L10" s="96"/>
      <c r="M10" s="96"/>
      <c r="N10" s="97"/>
    </row>
    <row r="11" spans="2:24" ht="45">
      <c r="B11" s="91"/>
      <c r="C11" s="91"/>
      <c r="D11" s="55" t="s">
        <v>5821</v>
      </c>
      <c r="E11" s="55" t="s">
        <v>5809</v>
      </c>
      <c r="F11" s="55" t="s">
        <v>5810</v>
      </c>
      <c r="G11" s="55" t="s">
        <v>5811</v>
      </c>
      <c r="H11" s="55" t="s">
        <v>5812</v>
      </c>
      <c r="I11" s="55" t="s">
        <v>5813</v>
      </c>
      <c r="J11" s="55" t="s">
        <v>5814</v>
      </c>
      <c r="K11" s="55" t="s">
        <v>5815</v>
      </c>
      <c r="L11" s="55" t="s">
        <v>5816</v>
      </c>
      <c r="M11" s="55" t="s">
        <v>5817</v>
      </c>
      <c r="N11" s="55" t="s">
        <v>5818</v>
      </c>
    </row>
    <row r="12" spans="2:24">
      <c r="B12" s="42" t="s">
        <v>3219</v>
      </c>
      <c r="C12" s="42" t="s">
        <v>3223</v>
      </c>
      <c r="D12" s="42" t="s">
        <v>2879</v>
      </c>
      <c r="E12" s="42" t="s">
        <v>3231</v>
      </c>
      <c r="F12" s="42" t="s">
        <v>3233</v>
      </c>
      <c r="G12" s="42" t="s">
        <v>3234</v>
      </c>
      <c r="H12" s="42" t="s">
        <v>3236</v>
      </c>
      <c r="I12" s="42" t="s">
        <v>3239</v>
      </c>
      <c r="J12" s="42" t="s">
        <v>3241</v>
      </c>
      <c r="K12" s="42" t="s">
        <v>3243</v>
      </c>
      <c r="L12" s="42" t="s">
        <v>3375</v>
      </c>
      <c r="M12" s="42" t="s">
        <v>3475</v>
      </c>
      <c r="N12" s="42" t="s">
        <v>3477</v>
      </c>
      <c r="W12" s="13" t="str">
        <f>Show!$B$171&amp;"S.31.01.04.01 Rows {"&amp;COLUMN($B$1)&amp;"}"&amp;"@ForceFilingCode:true"</f>
        <v>!S.31.01.04.01 Rows {2}@ForceFilingCode:true</v>
      </c>
      <c r="X12" s="13" t="str">
        <f>Show!$B$171&amp;"S.31.01.04.01 Columns {"&amp;COLUMN($B$1)&amp;"}"</f>
        <v>!S.31.01.04.01 Columns {2}</v>
      </c>
    </row>
    <row r="13" spans="2:24">
      <c r="B13" s="50"/>
      <c r="C13" s="50"/>
      <c r="D13" s="51"/>
      <c r="E13" s="60"/>
      <c r="F13" s="60"/>
      <c r="G13" s="60"/>
      <c r="H13" s="60"/>
      <c r="I13" s="60"/>
      <c r="J13" s="60"/>
      <c r="K13" s="60"/>
      <c r="L13" s="60"/>
      <c r="M13" s="60"/>
      <c r="N13" s="60"/>
    </row>
    <row r="15" spans="2:24">
      <c r="W15" s="13" t="str">
        <f>Show!$B$171&amp;Show!$B$171&amp;"S.31.01.04.01 Rows {"&amp;COLUMN($B$1)&amp;"}"</f>
        <v>!!S.31.01.04.01 Rows {2}</v>
      </c>
      <c r="X15" s="13" t="str">
        <f>Show!$B$171&amp;Show!$B$171&amp;"S.31.01.04.01 Columns {"&amp;COLUMN($N$1)&amp;"}"</f>
        <v>!!S.31.01.04.01 Columns {14}</v>
      </c>
    </row>
    <row r="17" spans="2:24" ht="18.75">
      <c r="B17" s="88" t="s">
        <v>5822</v>
      </c>
      <c r="C17" s="87"/>
      <c r="D17" s="87"/>
      <c r="E17" s="87"/>
      <c r="F17" s="87"/>
      <c r="G17" s="87"/>
      <c r="H17" s="87"/>
      <c r="I17" s="87"/>
      <c r="J17" s="87"/>
      <c r="K17" s="87"/>
      <c r="L17" s="87"/>
    </row>
    <row r="21" spans="2:24">
      <c r="B21" s="89" t="s">
        <v>5753</v>
      </c>
      <c r="C21" s="92" t="s">
        <v>2877</v>
      </c>
      <c r="D21" s="93"/>
      <c r="E21" s="93"/>
      <c r="F21" s="93"/>
      <c r="G21" s="93"/>
      <c r="H21" s="93"/>
      <c r="I21" s="94"/>
    </row>
    <row r="22" spans="2:24">
      <c r="B22" s="90"/>
      <c r="C22" s="95"/>
      <c r="D22" s="96"/>
      <c r="E22" s="96"/>
      <c r="F22" s="96"/>
      <c r="G22" s="96"/>
      <c r="H22" s="96"/>
      <c r="I22" s="97"/>
    </row>
    <row r="23" spans="2:24" ht="30">
      <c r="B23" s="91"/>
      <c r="C23" s="55" t="s">
        <v>5762</v>
      </c>
      <c r="D23" s="55" t="s">
        <v>5763</v>
      </c>
      <c r="E23" s="55" t="s">
        <v>5764</v>
      </c>
      <c r="F23" s="55" t="s">
        <v>5765</v>
      </c>
      <c r="G23" s="55" t="s">
        <v>3615</v>
      </c>
      <c r="H23" s="55" t="s">
        <v>3617</v>
      </c>
      <c r="I23" s="55" t="s">
        <v>3619</v>
      </c>
    </row>
    <row r="24" spans="2:24">
      <c r="B24" s="42" t="s">
        <v>3479</v>
      </c>
      <c r="C24" s="42" t="s">
        <v>3596</v>
      </c>
      <c r="D24" s="42" t="s">
        <v>3599</v>
      </c>
      <c r="E24" s="42" t="s">
        <v>3481</v>
      </c>
      <c r="F24" s="42" t="s">
        <v>3508</v>
      </c>
      <c r="G24" s="42" t="s">
        <v>3509</v>
      </c>
      <c r="H24" s="42" t="s">
        <v>3511</v>
      </c>
      <c r="I24" s="42" t="s">
        <v>3513</v>
      </c>
      <c r="W24" s="13" t="str">
        <f>Show!$B$171&amp;"S.31.01.04.02 Rows {"&amp;COLUMN($B$1)&amp;"}"&amp;"@ForceFilingCode:true"</f>
        <v>!S.31.01.04.02 Rows {2}@ForceFilingCode:true</v>
      </c>
      <c r="X24" s="13" t="str">
        <f>Show!$B$171&amp;"S.31.01.04.02 Columns {"&amp;COLUMN($B$1)&amp;"}"</f>
        <v>!S.31.01.04.02 Columns {2}</v>
      </c>
    </row>
    <row r="25" spans="2:24">
      <c r="B25" s="50"/>
      <c r="C25" s="51"/>
      <c r="D25" s="51"/>
      <c r="E25" s="51"/>
      <c r="F25" s="51"/>
      <c r="G25" s="51"/>
      <c r="H25" s="51"/>
      <c r="I25" s="51"/>
    </row>
    <row r="27" spans="2:24">
      <c r="W27" s="13" t="str">
        <f>Show!$B$171&amp;Show!$B$171&amp;"S.31.01.04.02 Rows {"&amp;COLUMN($B$1)&amp;"}"</f>
        <v>!!S.31.01.04.02 Rows {2}</v>
      </c>
      <c r="X27" s="13" t="str">
        <f>Show!$B$171&amp;Show!$B$171&amp;"S.31.01.04.02 Columns {"&amp;COLUMN($I$1)&amp;"}"</f>
        <v>!!S.31.01.04.02 Columns {9}</v>
      </c>
    </row>
  </sheetData>
  <sheetProtection sheet="1" objects="1" scenarios="1"/>
  <mergeCells count="8">
    <mergeCell ref="B21:B23"/>
    <mergeCell ref="C21:I22"/>
    <mergeCell ref="B2:O2"/>
    <mergeCell ref="B5:L5"/>
    <mergeCell ref="B9:B11"/>
    <mergeCell ref="C9:C11"/>
    <mergeCell ref="D9:N10"/>
    <mergeCell ref="B17:L17"/>
  </mergeCells>
  <dataValidations count="4">
    <dataValidation type="list" errorStyle="warning" allowBlank="1" showInputMessage="1" showErrorMessage="1" sqref="D25" xr:uid="{FD4E6D2F-D79D-4483-AB41-B970BD0B05A4}">
      <formula1>hier_SE_14</formula1>
    </dataValidation>
    <dataValidation type="list" errorStyle="warning" allowBlank="1" showInputMessage="1" showErrorMessage="1" sqref="E25" xr:uid="{CF210E5D-B29D-4D45-8100-A619B940DFCC}">
      <formula1>hier_GA_18</formula1>
    </dataValidation>
    <dataValidation type="list" errorStyle="warning" allowBlank="1" showInputMessage="1" showErrorMessage="1" sqref="G25" xr:uid="{7F256316-CBE6-49A9-A35A-15DC0EFFF186}">
      <formula1>hier_SE_28</formula1>
    </dataValidation>
    <dataValidation type="list" errorStyle="warning" allowBlank="1" showInputMessage="1" showErrorMessage="1" sqref="H25" xr:uid="{03793873-2596-48FF-8BB3-39D701BFB0CB}">
      <formula1>hier_BR_3</formula1>
    </dataValidation>
  </dataValidations>
  <pageMargins left="0.7" right="0.7" top="0.75" bottom="0.75" header="0.3" footer="0.3"/>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38A5B-7A45-464A-984C-8460B92DC345}">
  <sheetPr codeName="Blad176"/>
  <dimension ref="B2:AE27"/>
  <sheetViews>
    <sheetView showGridLines="0" workbookViewId="0"/>
  </sheetViews>
  <sheetFormatPr defaultRowHeight="15"/>
  <cols>
    <col min="2" max="2" width="38.42578125" bestFit="1" customWidth="1"/>
    <col min="3" max="11" width="40.7109375" customWidth="1"/>
    <col min="12" max="14" width="15.7109375" customWidth="1"/>
    <col min="15" max="15" width="40.7109375" customWidth="1"/>
    <col min="16" max="16" width="15.7109375" customWidth="1"/>
    <col min="17" max="18" width="40.7109375" customWidth="1"/>
  </cols>
  <sheetData>
    <row r="2" spans="2:31" ht="23.25">
      <c r="B2" s="86" t="s">
        <v>771</v>
      </c>
      <c r="C2" s="87"/>
      <c r="D2" s="87"/>
      <c r="E2" s="87"/>
      <c r="F2" s="87"/>
      <c r="G2" s="87"/>
      <c r="H2" s="87"/>
      <c r="I2" s="87"/>
      <c r="J2" s="87"/>
      <c r="K2" s="87"/>
      <c r="L2" s="87"/>
      <c r="M2" s="87"/>
      <c r="N2" s="87"/>
      <c r="O2" s="87"/>
    </row>
    <row r="5" spans="2:31" ht="18.75">
      <c r="B5" s="88" t="s">
        <v>5823</v>
      </c>
      <c r="C5" s="87"/>
      <c r="D5" s="87"/>
      <c r="E5" s="87"/>
      <c r="F5" s="87"/>
      <c r="G5" s="87"/>
      <c r="H5" s="87"/>
      <c r="I5" s="87"/>
      <c r="J5" s="87"/>
      <c r="K5" s="87"/>
      <c r="L5" s="87"/>
    </row>
    <row r="9" spans="2:31">
      <c r="B9" s="89" t="s">
        <v>3374</v>
      </c>
      <c r="C9" s="89" t="s">
        <v>5824</v>
      </c>
      <c r="D9" s="89" t="s">
        <v>5825</v>
      </c>
      <c r="E9" s="89" t="s">
        <v>5826</v>
      </c>
      <c r="F9" s="92" t="s">
        <v>2877</v>
      </c>
      <c r="G9" s="93"/>
      <c r="H9" s="93"/>
      <c r="I9" s="93"/>
      <c r="J9" s="93"/>
      <c r="K9" s="93"/>
      <c r="L9" s="93"/>
      <c r="M9" s="93"/>
      <c r="N9" s="93"/>
      <c r="O9" s="93"/>
      <c r="P9" s="93"/>
      <c r="Q9" s="93"/>
      <c r="R9" s="94"/>
    </row>
    <row r="10" spans="2:31">
      <c r="B10" s="90"/>
      <c r="C10" s="90"/>
      <c r="D10" s="90"/>
      <c r="E10" s="90"/>
      <c r="F10" s="95"/>
      <c r="G10" s="96"/>
      <c r="H10" s="96"/>
      <c r="I10" s="96"/>
      <c r="J10" s="96"/>
      <c r="K10" s="96"/>
      <c r="L10" s="96"/>
      <c r="M10" s="96"/>
      <c r="N10" s="96"/>
      <c r="O10" s="96"/>
      <c r="P10" s="96"/>
      <c r="Q10" s="96"/>
      <c r="R10" s="97"/>
    </row>
    <row r="11" spans="2:31" ht="90">
      <c r="B11" s="91"/>
      <c r="C11" s="91"/>
      <c r="D11" s="91"/>
      <c r="E11" s="91"/>
      <c r="F11" s="55" t="s">
        <v>5827</v>
      </c>
      <c r="G11" s="55" t="s">
        <v>5828</v>
      </c>
      <c r="H11" s="55" t="s">
        <v>5829</v>
      </c>
      <c r="I11" s="55" t="s">
        <v>5830</v>
      </c>
      <c r="J11" s="55" t="s">
        <v>5831</v>
      </c>
      <c r="K11" s="55" t="s">
        <v>5832</v>
      </c>
      <c r="L11" s="55" t="s">
        <v>5833</v>
      </c>
      <c r="M11" s="55" t="s">
        <v>5834</v>
      </c>
      <c r="N11" s="55" t="s">
        <v>5835</v>
      </c>
      <c r="O11" s="55" t="s">
        <v>5836</v>
      </c>
      <c r="P11" s="55" t="s">
        <v>5837</v>
      </c>
      <c r="Q11" s="55" t="s">
        <v>5838</v>
      </c>
      <c r="R11" s="55" t="s">
        <v>5839</v>
      </c>
    </row>
    <row r="12" spans="2:31">
      <c r="B12" s="42" t="s">
        <v>3581</v>
      </c>
      <c r="C12" s="42" t="s">
        <v>3225</v>
      </c>
      <c r="D12" s="42" t="s">
        <v>3223</v>
      </c>
      <c r="E12" s="42" t="s">
        <v>3231</v>
      </c>
      <c r="F12" s="42" t="s">
        <v>3233</v>
      </c>
      <c r="G12" s="42" t="s">
        <v>3234</v>
      </c>
      <c r="H12" s="42" t="s">
        <v>3236</v>
      </c>
      <c r="I12" s="42" t="s">
        <v>3239</v>
      </c>
      <c r="J12" s="42" t="s">
        <v>3241</v>
      </c>
      <c r="K12" s="42" t="s">
        <v>3243</v>
      </c>
      <c r="L12" s="42" t="s">
        <v>3375</v>
      </c>
      <c r="M12" s="42" t="s">
        <v>3475</v>
      </c>
      <c r="N12" s="42" t="s">
        <v>3477</v>
      </c>
      <c r="O12" s="42" t="s">
        <v>3479</v>
      </c>
      <c r="P12" s="42" t="s">
        <v>3594</v>
      </c>
      <c r="Q12" s="42" t="s">
        <v>3596</v>
      </c>
      <c r="R12" s="42" t="s">
        <v>3599</v>
      </c>
      <c r="AD12" s="13" t="str">
        <f>Show!$B$172&amp;"S.31.02.01.01 Rows {"&amp;COLUMN($B$1)&amp;"}"&amp;"@ForceFilingCode:true"</f>
        <v>!S.31.02.01.01 Rows {2}@ForceFilingCode:true</v>
      </c>
      <c r="AE12" s="13" t="str">
        <f>Show!$B$172&amp;"S.31.02.01.01 Columns {"&amp;COLUMN($B$1)&amp;"}"</f>
        <v>!S.31.02.01.01 Columns {2}</v>
      </c>
    </row>
    <row r="13" spans="2:31">
      <c r="B13" s="50"/>
      <c r="C13" s="50"/>
      <c r="D13" s="50"/>
      <c r="E13" s="51"/>
      <c r="F13" s="51"/>
      <c r="G13" s="51"/>
      <c r="H13" s="51"/>
      <c r="I13" s="51"/>
      <c r="J13" s="51"/>
      <c r="K13" s="60"/>
      <c r="L13" s="60"/>
      <c r="M13" s="60"/>
      <c r="N13" s="60"/>
      <c r="O13" s="51"/>
      <c r="P13" s="60"/>
      <c r="Q13" s="51"/>
      <c r="R13" s="51"/>
    </row>
    <row r="15" spans="2:31">
      <c r="AD15" s="13" t="str">
        <f>Show!$B$172&amp;Show!$B$172&amp;"S.31.02.01.01 Rows {"&amp;COLUMN($B$1)&amp;"}"</f>
        <v>!!S.31.02.01.01 Rows {2}</v>
      </c>
      <c r="AE15" s="13" t="str">
        <f>Show!$B$172&amp;Show!$B$172&amp;"S.31.02.01.01 Columns {"&amp;COLUMN($R$1)&amp;"}"</f>
        <v>!!S.31.02.01.01 Columns {18}</v>
      </c>
    </row>
    <row r="17" spans="2:31" ht="18.75">
      <c r="B17" s="88" t="s">
        <v>5840</v>
      </c>
      <c r="C17" s="87"/>
      <c r="D17" s="87"/>
      <c r="E17" s="87"/>
      <c r="F17" s="87"/>
      <c r="G17" s="87"/>
      <c r="H17" s="87"/>
      <c r="I17" s="87"/>
      <c r="J17" s="87"/>
      <c r="K17" s="87"/>
      <c r="L17" s="87"/>
    </row>
    <row r="21" spans="2:31">
      <c r="B21" s="89" t="s">
        <v>5824</v>
      </c>
      <c r="C21" s="92" t="s">
        <v>2877</v>
      </c>
      <c r="D21" s="93"/>
      <c r="E21" s="93"/>
      <c r="F21" s="93"/>
      <c r="G21" s="93"/>
      <c r="H21" s="93"/>
      <c r="I21" s="93"/>
      <c r="J21" s="93"/>
      <c r="K21" s="94"/>
    </row>
    <row r="22" spans="2:31">
      <c r="B22" s="90"/>
      <c r="C22" s="95"/>
      <c r="D22" s="96"/>
      <c r="E22" s="96"/>
      <c r="F22" s="96"/>
      <c r="G22" s="96"/>
      <c r="H22" s="96"/>
      <c r="I22" s="96"/>
      <c r="J22" s="96"/>
      <c r="K22" s="97"/>
    </row>
    <row r="23" spans="2:31" ht="30">
      <c r="B23" s="91"/>
      <c r="C23" s="55" t="s">
        <v>5841</v>
      </c>
      <c r="D23" s="55" t="s">
        <v>5842</v>
      </c>
      <c r="E23" s="55" t="s">
        <v>5843</v>
      </c>
      <c r="F23" s="55" t="s">
        <v>5844</v>
      </c>
      <c r="G23" s="55" t="s">
        <v>5845</v>
      </c>
      <c r="H23" s="55" t="s">
        <v>5765</v>
      </c>
      <c r="I23" s="55" t="s">
        <v>3615</v>
      </c>
      <c r="J23" s="55" t="s">
        <v>3617</v>
      </c>
      <c r="K23" s="55" t="s">
        <v>3619</v>
      </c>
    </row>
    <row r="24" spans="2:31">
      <c r="B24" s="42" t="s">
        <v>3481</v>
      </c>
      <c r="C24" s="42" t="s">
        <v>3509</v>
      </c>
      <c r="D24" s="42" t="s">
        <v>3511</v>
      </c>
      <c r="E24" s="42" t="s">
        <v>3513</v>
      </c>
      <c r="F24" s="42" t="s">
        <v>3514</v>
      </c>
      <c r="G24" s="42" t="s">
        <v>3515</v>
      </c>
      <c r="H24" s="42" t="s">
        <v>3517</v>
      </c>
      <c r="I24" s="42" t="s">
        <v>3518</v>
      </c>
      <c r="J24" s="42" t="s">
        <v>3608</v>
      </c>
      <c r="K24" s="42" t="s">
        <v>3519</v>
      </c>
      <c r="AD24" s="13" t="str">
        <f>Show!$B$172&amp;"S.31.02.01.02 Rows {"&amp;COLUMN($B$1)&amp;"}"&amp;"@ForceFilingCode:true"</f>
        <v>!S.31.02.01.02 Rows {2}@ForceFilingCode:true</v>
      </c>
      <c r="AE24" s="13" t="str">
        <f>Show!$B$172&amp;"S.31.02.01.02 Columns {"&amp;COLUMN($B$1)&amp;"}"</f>
        <v>!S.31.02.01.02 Columns {2}</v>
      </c>
    </row>
    <row r="25" spans="2:31">
      <c r="B25" s="50"/>
      <c r="C25" s="51"/>
      <c r="D25" s="51"/>
      <c r="E25" s="51"/>
      <c r="F25" s="51"/>
      <c r="G25" s="51"/>
      <c r="H25" s="51"/>
      <c r="I25" s="51"/>
      <c r="J25" s="51"/>
      <c r="K25" s="51"/>
    </row>
    <row r="27" spans="2:31">
      <c r="AD27" s="13" t="str">
        <f>Show!$B$172&amp;Show!$B$172&amp;"S.31.02.01.02 Rows {"&amp;COLUMN($B$1)&amp;"}"</f>
        <v>!!S.31.02.01.02 Rows {2}</v>
      </c>
      <c r="AE27" s="13" t="str">
        <f>Show!$B$172&amp;Show!$B$172&amp;"S.31.02.01.02 Columns {"&amp;COLUMN($K$1)&amp;"}"</f>
        <v>!!S.31.02.01.02 Columns {11}</v>
      </c>
    </row>
  </sheetData>
  <sheetProtection sheet="1" objects="1" scenarios="1"/>
  <mergeCells count="10">
    <mergeCell ref="B17:L17"/>
    <mergeCell ref="B21:B23"/>
    <mergeCell ref="C21:K22"/>
    <mergeCell ref="B2:O2"/>
    <mergeCell ref="B5:L5"/>
    <mergeCell ref="B9:B11"/>
    <mergeCell ref="C9:C11"/>
    <mergeCell ref="D9:D11"/>
    <mergeCell ref="E9:E11"/>
    <mergeCell ref="F9:R10"/>
  </mergeCells>
  <dataValidations count="13">
    <dataValidation type="list" errorStyle="warning" allowBlank="1" showInputMessage="1" showErrorMessage="1" sqref="E13" xr:uid="{64DDD4CE-DC66-436A-B99A-11BC08DF9E5F}">
      <formula1>hier_LB_49</formula1>
    </dataValidation>
    <dataValidation type="list" errorStyle="warning" allowBlank="1" showInputMessage="1" showErrorMessage="1" sqref="F13" xr:uid="{ED5E42B9-0DC5-4206-BB37-F6D31892758D}">
      <formula1>hier_LT_3</formula1>
    </dataValidation>
    <dataValidation type="list" errorStyle="warning" allowBlank="1" showInputMessage="1" showErrorMessage="1" sqref="H13" xr:uid="{E2972C55-2DD0-4D85-BC70-FAAA63A9666B}">
      <formula1>hier_LT_4</formula1>
    </dataValidation>
    <dataValidation type="list" errorStyle="warning" allowBlank="1" showInputMessage="1" showErrorMessage="1" sqref="I13" xr:uid="{903995A8-506C-45E5-A361-EDFA6C2B5352}">
      <formula1>hier_RT_13</formula1>
    </dataValidation>
    <dataValidation type="list" errorStyle="warning" allowBlank="1" showInputMessage="1" showErrorMessage="1" sqref="J13" xr:uid="{C5FEBA4B-61E1-44A7-BB65-22A26CAFF879}">
      <formula1>hier_RT_14</formula1>
    </dataValidation>
    <dataValidation type="list" errorStyle="warning" allowBlank="1" showInputMessage="1" showErrorMessage="1" sqref="O13" xr:uid="{607352BC-D028-46E2-9278-0097C684F5E2}">
      <formula1>hier_SE_16</formula1>
    </dataValidation>
    <dataValidation type="list" errorStyle="warning" allowBlank="1" showInputMessage="1" showErrorMessage="1" sqref="Q13" xr:uid="{39E9ABB6-2AC3-4A2B-AD66-6A67642ABB7F}">
      <formula1>hier_TB_12</formula1>
    </dataValidation>
    <dataValidation type="list" errorStyle="warning" allowBlank="1" showInputMessage="1" showErrorMessage="1" sqref="R13" xr:uid="{F3506B85-96A1-49A6-BD74-0A5AD30DE2AA}">
      <formula1>hier_TB_13</formula1>
    </dataValidation>
    <dataValidation type="list" errorStyle="warning" allowBlank="1" showInputMessage="1" showErrorMessage="1" sqref="C25" xr:uid="{58B96C81-C917-4CAB-A7C0-3C575D7CE956}">
      <formula1>hier_SE_17</formula1>
    </dataValidation>
    <dataValidation type="list" errorStyle="warning" allowBlank="1" showInputMessage="1" showErrorMessage="1" sqref="F25" xr:uid="{06CE4467-786A-443F-B46F-E138507B86C7}">
      <formula1>hier_GA_5</formula1>
    </dataValidation>
    <dataValidation type="list" errorStyle="warning" allowBlank="1" showInputMessage="1" showErrorMessage="1" sqref="G25" xr:uid="{ABCA00D8-520A-4FCF-82C1-27FCCD93A19E}">
      <formula1>hier_TB_7</formula1>
    </dataValidation>
    <dataValidation type="list" errorStyle="warning" allowBlank="1" showInputMessage="1" showErrorMessage="1" sqref="I25" xr:uid="{B516838E-9FE5-42F8-9047-00CD1A8A6519}">
      <formula1>hier_SE_27</formula1>
    </dataValidation>
    <dataValidation type="list" errorStyle="warning" allowBlank="1" showInputMessage="1" showErrorMessage="1" sqref="J25" xr:uid="{6DE6D9C0-1D61-4F4E-9815-BE06A9CAFC77}">
      <formula1>hier_BR_3</formula1>
    </dataValidation>
  </dataValidations>
  <pageMargins left="0.7" right="0.7" top="0.75" bottom="0.75" header="0.3" footer="0.3"/>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F8BCA-C0A0-48CC-AB18-4BFBA8D27BBF}">
  <sheetPr codeName="Blad177"/>
  <dimension ref="B2:AH27"/>
  <sheetViews>
    <sheetView showGridLines="0" workbookViewId="0"/>
  </sheetViews>
  <sheetFormatPr defaultRowHeight="15"/>
  <cols>
    <col min="2" max="2" width="38.42578125" bestFit="1" customWidth="1"/>
    <col min="3" max="12" width="40.7109375" customWidth="1"/>
    <col min="13" max="16" width="15.7109375" customWidth="1"/>
    <col min="17" max="17" width="40.7109375" customWidth="1"/>
    <col min="18" max="18" width="15.7109375" customWidth="1"/>
    <col min="19" max="20" width="40.7109375" customWidth="1"/>
  </cols>
  <sheetData>
    <row r="2" spans="2:34" ht="23.25">
      <c r="B2" s="86" t="s">
        <v>771</v>
      </c>
      <c r="C2" s="87"/>
      <c r="D2" s="87"/>
      <c r="E2" s="87"/>
      <c r="F2" s="87"/>
      <c r="G2" s="87"/>
      <c r="H2" s="87"/>
      <c r="I2" s="87"/>
      <c r="J2" s="87"/>
      <c r="K2" s="87"/>
      <c r="L2" s="87"/>
      <c r="M2" s="87"/>
      <c r="N2" s="87"/>
      <c r="O2" s="87"/>
    </row>
    <row r="5" spans="2:34" ht="18.75">
      <c r="B5" s="88" t="s">
        <v>5846</v>
      </c>
      <c r="C5" s="87"/>
      <c r="D5" s="87"/>
      <c r="E5" s="87"/>
      <c r="F5" s="87"/>
      <c r="G5" s="87"/>
      <c r="H5" s="87"/>
      <c r="I5" s="87"/>
      <c r="J5" s="87"/>
      <c r="K5" s="87"/>
      <c r="L5" s="87"/>
    </row>
    <row r="9" spans="2:34">
      <c r="B9" s="89" t="s">
        <v>3374</v>
      </c>
      <c r="C9" s="89" t="s">
        <v>3245</v>
      </c>
      <c r="D9" s="89" t="s">
        <v>5824</v>
      </c>
      <c r="E9" s="89" t="s">
        <v>5825</v>
      </c>
      <c r="F9" s="89" t="s">
        <v>5826</v>
      </c>
      <c r="G9" s="92" t="s">
        <v>2877</v>
      </c>
      <c r="H9" s="93"/>
      <c r="I9" s="93"/>
      <c r="J9" s="93"/>
      <c r="K9" s="93"/>
      <c r="L9" s="93"/>
      <c r="M9" s="93"/>
      <c r="N9" s="93"/>
      <c r="O9" s="93"/>
      <c r="P9" s="93"/>
      <c r="Q9" s="93"/>
      <c r="R9" s="93"/>
      <c r="S9" s="93"/>
      <c r="T9" s="94"/>
    </row>
    <row r="10" spans="2:34">
      <c r="B10" s="90"/>
      <c r="C10" s="90"/>
      <c r="D10" s="90"/>
      <c r="E10" s="90"/>
      <c r="F10" s="90"/>
      <c r="G10" s="95"/>
      <c r="H10" s="96"/>
      <c r="I10" s="96"/>
      <c r="J10" s="96"/>
      <c r="K10" s="96"/>
      <c r="L10" s="96"/>
      <c r="M10" s="96"/>
      <c r="N10" s="96"/>
      <c r="O10" s="96"/>
      <c r="P10" s="96"/>
      <c r="Q10" s="96"/>
      <c r="R10" s="96"/>
      <c r="S10" s="96"/>
      <c r="T10" s="97"/>
    </row>
    <row r="11" spans="2:34" ht="90">
      <c r="B11" s="91"/>
      <c r="C11" s="91"/>
      <c r="D11" s="91"/>
      <c r="E11" s="91"/>
      <c r="F11" s="91"/>
      <c r="G11" s="55" t="s">
        <v>5821</v>
      </c>
      <c r="H11" s="55" t="s">
        <v>5827</v>
      </c>
      <c r="I11" s="55" t="s">
        <v>5828</v>
      </c>
      <c r="J11" s="55" t="s">
        <v>5829</v>
      </c>
      <c r="K11" s="55" t="s">
        <v>5830</v>
      </c>
      <c r="L11" s="55" t="s">
        <v>5831</v>
      </c>
      <c r="M11" s="55" t="s">
        <v>5832</v>
      </c>
      <c r="N11" s="55" t="s">
        <v>5833</v>
      </c>
      <c r="O11" s="55" t="s">
        <v>5834</v>
      </c>
      <c r="P11" s="55" t="s">
        <v>5835</v>
      </c>
      <c r="Q11" s="55" t="s">
        <v>5836</v>
      </c>
      <c r="R11" s="55" t="s">
        <v>5837</v>
      </c>
      <c r="S11" s="55" t="s">
        <v>5838</v>
      </c>
      <c r="T11" s="55" t="s">
        <v>5839</v>
      </c>
    </row>
    <row r="12" spans="2:34">
      <c r="B12" s="42" t="s">
        <v>3581</v>
      </c>
      <c r="C12" s="42" t="s">
        <v>3219</v>
      </c>
      <c r="D12" s="42" t="s">
        <v>3225</v>
      </c>
      <c r="E12" s="42" t="s">
        <v>3223</v>
      </c>
      <c r="F12" s="42" t="s">
        <v>3231</v>
      </c>
      <c r="G12" s="42" t="s">
        <v>2879</v>
      </c>
      <c r="H12" s="42" t="s">
        <v>3233</v>
      </c>
      <c r="I12" s="42" t="s">
        <v>3234</v>
      </c>
      <c r="J12" s="42" t="s">
        <v>3236</v>
      </c>
      <c r="K12" s="42" t="s">
        <v>3239</v>
      </c>
      <c r="L12" s="42" t="s">
        <v>3241</v>
      </c>
      <c r="M12" s="42" t="s">
        <v>3243</v>
      </c>
      <c r="N12" s="42" t="s">
        <v>3375</v>
      </c>
      <c r="O12" s="42" t="s">
        <v>3475</v>
      </c>
      <c r="P12" s="42" t="s">
        <v>3477</v>
      </c>
      <c r="Q12" s="42" t="s">
        <v>3479</v>
      </c>
      <c r="R12" s="42" t="s">
        <v>3594</v>
      </c>
      <c r="S12" s="42" t="s">
        <v>3596</v>
      </c>
      <c r="T12" s="42" t="s">
        <v>3599</v>
      </c>
      <c r="AG12" s="13" t="str">
        <f>Show!$B$173&amp;"S.31.02.04.01 Rows {"&amp;COLUMN($B$1)&amp;"}"&amp;"@ForceFilingCode:true"</f>
        <v>!S.31.02.04.01 Rows {2}@ForceFilingCode:true</v>
      </c>
      <c r="AH12" s="13" t="str">
        <f>Show!$B$173&amp;"S.31.02.04.01 Columns {"&amp;COLUMN($B$1)&amp;"}"</f>
        <v>!S.31.02.04.01 Columns {2}</v>
      </c>
    </row>
    <row r="13" spans="2:34">
      <c r="B13" s="50"/>
      <c r="C13" s="50"/>
      <c r="D13" s="50"/>
      <c r="E13" s="50"/>
      <c r="F13" s="51"/>
      <c r="G13" s="51"/>
      <c r="H13" s="51"/>
      <c r="I13" s="51"/>
      <c r="J13" s="51"/>
      <c r="K13" s="51"/>
      <c r="L13" s="51"/>
      <c r="M13" s="60"/>
      <c r="N13" s="60"/>
      <c r="O13" s="60"/>
      <c r="P13" s="60"/>
      <c r="Q13" s="51"/>
      <c r="R13" s="60"/>
      <c r="S13" s="51"/>
      <c r="T13" s="51"/>
    </row>
    <row r="15" spans="2:34">
      <c r="AG15" s="13" t="str">
        <f>Show!$B$173&amp;Show!$B$173&amp;"S.31.02.04.01 Rows {"&amp;COLUMN($B$1)&amp;"}"</f>
        <v>!!S.31.02.04.01 Rows {2}</v>
      </c>
      <c r="AH15" s="13" t="str">
        <f>Show!$B$173&amp;Show!$B$173&amp;"S.31.02.04.01 Columns {"&amp;COLUMN($T$1)&amp;"}"</f>
        <v>!!S.31.02.04.01 Columns {20}</v>
      </c>
    </row>
    <row r="17" spans="2:34" ht="18.75">
      <c r="B17" s="88" t="s">
        <v>5847</v>
      </c>
      <c r="C17" s="87"/>
      <c r="D17" s="87"/>
      <c r="E17" s="87"/>
      <c r="F17" s="87"/>
      <c r="G17" s="87"/>
      <c r="H17" s="87"/>
      <c r="I17" s="87"/>
      <c r="J17" s="87"/>
      <c r="K17" s="87"/>
      <c r="L17" s="87"/>
    </row>
    <row r="21" spans="2:34">
      <c r="B21" s="89" t="s">
        <v>5824</v>
      </c>
      <c r="C21" s="92" t="s">
        <v>2877</v>
      </c>
      <c r="D21" s="93"/>
      <c r="E21" s="93"/>
      <c r="F21" s="93"/>
      <c r="G21" s="93"/>
      <c r="H21" s="93"/>
      <c r="I21" s="93"/>
      <c r="J21" s="93"/>
      <c r="K21" s="94"/>
    </row>
    <row r="22" spans="2:34">
      <c r="B22" s="90"/>
      <c r="C22" s="95"/>
      <c r="D22" s="96"/>
      <c r="E22" s="96"/>
      <c r="F22" s="96"/>
      <c r="G22" s="96"/>
      <c r="H22" s="96"/>
      <c r="I22" s="96"/>
      <c r="J22" s="96"/>
      <c r="K22" s="97"/>
    </row>
    <row r="23" spans="2:34" ht="30">
      <c r="B23" s="91"/>
      <c r="C23" s="55" t="s">
        <v>5841</v>
      </c>
      <c r="D23" s="55" t="s">
        <v>5842</v>
      </c>
      <c r="E23" s="55" t="s">
        <v>5843</v>
      </c>
      <c r="F23" s="55" t="s">
        <v>5844</v>
      </c>
      <c r="G23" s="55" t="s">
        <v>5845</v>
      </c>
      <c r="H23" s="55" t="s">
        <v>5765</v>
      </c>
      <c r="I23" s="55" t="s">
        <v>3615</v>
      </c>
      <c r="J23" s="55" t="s">
        <v>3617</v>
      </c>
      <c r="K23" s="55" t="s">
        <v>3619</v>
      </c>
    </row>
    <row r="24" spans="2:34">
      <c r="B24" s="42" t="s">
        <v>3481</v>
      </c>
      <c r="C24" s="42" t="s">
        <v>3509</v>
      </c>
      <c r="D24" s="42" t="s">
        <v>3511</v>
      </c>
      <c r="E24" s="42" t="s">
        <v>3513</v>
      </c>
      <c r="F24" s="42" t="s">
        <v>3514</v>
      </c>
      <c r="G24" s="42" t="s">
        <v>3515</v>
      </c>
      <c r="H24" s="42" t="s">
        <v>3517</v>
      </c>
      <c r="I24" s="42" t="s">
        <v>3518</v>
      </c>
      <c r="J24" s="42" t="s">
        <v>3608</v>
      </c>
      <c r="K24" s="42" t="s">
        <v>3519</v>
      </c>
      <c r="AG24" s="13" t="str">
        <f>Show!$B$173&amp;"S.31.02.04.02 Rows {"&amp;COLUMN($B$1)&amp;"}"&amp;"@ForceFilingCode:true"</f>
        <v>!S.31.02.04.02 Rows {2}@ForceFilingCode:true</v>
      </c>
      <c r="AH24" s="13" t="str">
        <f>Show!$B$173&amp;"S.31.02.04.02 Columns {"&amp;COLUMN($B$1)&amp;"}"</f>
        <v>!S.31.02.04.02 Columns {2}</v>
      </c>
    </row>
    <row r="25" spans="2:34">
      <c r="B25" s="50"/>
      <c r="C25" s="51"/>
      <c r="D25" s="51"/>
      <c r="E25" s="51"/>
      <c r="F25" s="51"/>
      <c r="G25" s="51"/>
      <c r="H25" s="51"/>
      <c r="I25" s="51"/>
      <c r="J25" s="51"/>
      <c r="K25" s="51"/>
    </row>
    <row r="27" spans="2:34">
      <c r="AG27" s="13" t="str">
        <f>Show!$B$173&amp;Show!$B$173&amp;"S.31.02.04.02 Rows {"&amp;COLUMN($B$1)&amp;"}"</f>
        <v>!!S.31.02.04.02 Rows {2}</v>
      </c>
      <c r="AH27" s="13" t="str">
        <f>Show!$B$173&amp;Show!$B$173&amp;"S.31.02.04.02 Columns {"&amp;COLUMN($K$1)&amp;"}"</f>
        <v>!!S.31.02.04.02 Columns {11}</v>
      </c>
    </row>
  </sheetData>
  <sheetProtection sheet="1" objects="1" scenarios="1"/>
  <mergeCells count="11">
    <mergeCell ref="B17:L17"/>
    <mergeCell ref="B21:B23"/>
    <mergeCell ref="C21:K22"/>
    <mergeCell ref="B2:O2"/>
    <mergeCell ref="B5:L5"/>
    <mergeCell ref="B9:B11"/>
    <mergeCell ref="C9:C11"/>
    <mergeCell ref="D9:D11"/>
    <mergeCell ref="E9:E11"/>
    <mergeCell ref="F9:F11"/>
    <mergeCell ref="G9:T10"/>
  </mergeCells>
  <dataValidations count="13">
    <dataValidation type="list" errorStyle="warning" allowBlank="1" showInputMessage="1" showErrorMessage="1" sqref="F13" xr:uid="{4DDDE125-9F7C-4FF9-88B0-BCBAC56D8FFC}">
      <formula1>hier_LB_49</formula1>
    </dataValidation>
    <dataValidation type="list" errorStyle="warning" allowBlank="1" showInputMessage="1" showErrorMessage="1" sqref="H13" xr:uid="{35346DBC-BBBE-48EB-B58B-66F598089948}">
      <formula1>hier_LT_3</formula1>
    </dataValidation>
    <dataValidation type="list" errorStyle="warning" allowBlank="1" showInputMessage="1" showErrorMessage="1" sqref="J13" xr:uid="{6D40034B-F60F-4452-A007-DB6F0A34F6AF}">
      <formula1>hier_LT_4</formula1>
    </dataValidation>
    <dataValidation type="list" errorStyle="warning" allowBlank="1" showInputMessage="1" showErrorMessage="1" sqref="K13" xr:uid="{8A74B703-971B-4C62-8E01-4992B422C0C7}">
      <formula1>hier_RT_13</formula1>
    </dataValidation>
    <dataValidation type="list" errorStyle="warning" allowBlank="1" showInputMessage="1" showErrorMessage="1" sqref="L13" xr:uid="{4C7EB1A5-833F-4CB7-8AB3-260E5A8818E0}">
      <formula1>hier_RT_14</formula1>
    </dataValidation>
    <dataValidation type="list" errorStyle="warning" allowBlank="1" showInputMessage="1" showErrorMessage="1" sqref="Q13" xr:uid="{B2B28E3A-E133-4198-BF1B-F81D6A850362}">
      <formula1>hier_SE_16</formula1>
    </dataValidation>
    <dataValidation type="list" errorStyle="warning" allowBlank="1" showInputMessage="1" showErrorMessage="1" sqref="S13" xr:uid="{7EEDCD28-9074-4810-B71E-E5A3CBE70C00}">
      <formula1>hier_TB_12</formula1>
    </dataValidation>
    <dataValidation type="list" errorStyle="warning" allowBlank="1" showInputMessage="1" showErrorMessage="1" sqref="T13" xr:uid="{BA93C16A-2F86-4B0C-AFDB-53DEB530281C}">
      <formula1>hier_TB_13</formula1>
    </dataValidation>
    <dataValidation type="list" errorStyle="warning" allowBlank="1" showInputMessage="1" showErrorMessage="1" sqref="C25" xr:uid="{AF7F524B-22DA-4DBE-A909-365874F79DF1}">
      <formula1>hier_SE_17</formula1>
    </dataValidation>
    <dataValidation type="list" errorStyle="warning" allowBlank="1" showInputMessage="1" showErrorMessage="1" sqref="F25" xr:uid="{E1A549BE-D948-43CA-AF42-E7815CF80342}">
      <formula1>hier_GA_5</formula1>
    </dataValidation>
    <dataValidation type="list" errorStyle="warning" allowBlank="1" showInputMessage="1" showErrorMessage="1" sqref="G25" xr:uid="{54EC91E0-980B-4891-BEF2-F2D7F128491E}">
      <formula1>hier_TB_7</formula1>
    </dataValidation>
    <dataValidation type="list" errorStyle="warning" allowBlank="1" showInputMessage="1" showErrorMessage="1" sqref="I25" xr:uid="{2A4DBBAF-8DBD-4898-89D4-604D3C6B960C}">
      <formula1>hier_SE_28</formula1>
    </dataValidation>
    <dataValidation type="list" errorStyle="warning" allowBlank="1" showInputMessage="1" showErrorMessage="1" sqref="J25" xr:uid="{7AE5243C-726E-4380-9EBA-FC5F2801AFE0}">
      <formula1>hier_BR_3</formula1>
    </dataValidation>
  </dataValidations>
  <pageMargins left="0.7" right="0.7" top="0.75" bottom="0.75" header="0.3" footer="0.3"/>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B59AC-ACA6-4CA9-ABCB-9961EECBCD3A}">
  <sheetPr codeName="Blad178"/>
  <dimension ref="B2:AN16"/>
  <sheetViews>
    <sheetView showGridLines="0" workbookViewId="0"/>
  </sheetViews>
  <sheetFormatPr defaultRowHeight="15"/>
  <cols>
    <col min="2" max="2" width="51.140625" bestFit="1" customWidth="1"/>
    <col min="3" max="8" width="40.7109375" customWidth="1"/>
    <col min="9" max="16" width="15.7109375" customWidth="1"/>
    <col min="17" max="17" width="40.7109375" customWidth="1"/>
    <col min="18" max="20" width="15.7109375" customWidth="1"/>
    <col min="21" max="22" width="40.7109375" customWidth="1"/>
    <col min="23" max="23" width="15.7109375" customWidth="1"/>
    <col min="24" max="24" width="40.7109375" customWidth="1"/>
    <col min="25" max="25" width="15.7109375" customWidth="1"/>
    <col min="26" max="26" width="40.7109375" customWidth="1"/>
  </cols>
  <sheetData>
    <row r="2" spans="2:40" ht="23.25">
      <c r="B2" s="86" t="s">
        <v>774</v>
      </c>
      <c r="C2" s="87"/>
      <c r="D2" s="87"/>
      <c r="E2" s="87"/>
      <c r="F2" s="87"/>
      <c r="G2" s="87"/>
      <c r="H2" s="87"/>
      <c r="I2" s="87"/>
      <c r="J2" s="87"/>
      <c r="K2" s="87"/>
      <c r="L2" s="87"/>
      <c r="M2" s="87"/>
      <c r="N2" s="87"/>
      <c r="O2" s="87"/>
    </row>
    <row r="5" spans="2:40" ht="18.75">
      <c r="B5" s="88" t="s">
        <v>5848</v>
      </c>
      <c r="C5" s="87"/>
      <c r="D5" s="87"/>
      <c r="E5" s="87"/>
      <c r="F5" s="87"/>
      <c r="G5" s="87"/>
      <c r="H5" s="87"/>
      <c r="I5" s="87"/>
      <c r="J5" s="87"/>
      <c r="K5" s="87"/>
      <c r="L5" s="87"/>
    </row>
    <row r="9" spans="2:40">
      <c r="B9" s="89" t="s">
        <v>3245</v>
      </c>
      <c r="C9" s="92" t="s">
        <v>2877</v>
      </c>
      <c r="D9" s="93"/>
      <c r="E9" s="93"/>
      <c r="F9" s="93"/>
      <c r="G9" s="93"/>
      <c r="H9" s="93"/>
      <c r="I9" s="93"/>
      <c r="J9" s="93"/>
      <c r="K9" s="93"/>
      <c r="L9" s="93"/>
      <c r="M9" s="93"/>
      <c r="N9" s="93"/>
      <c r="O9" s="93"/>
      <c r="P9" s="93"/>
      <c r="Q9" s="93"/>
      <c r="R9" s="93"/>
      <c r="S9" s="93"/>
      <c r="T9" s="93"/>
      <c r="U9" s="93"/>
      <c r="V9" s="93"/>
      <c r="W9" s="93"/>
      <c r="X9" s="93"/>
      <c r="Y9" s="93"/>
      <c r="Z9" s="94"/>
    </row>
    <row r="10" spans="2:40">
      <c r="B10" s="90"/>
      <c r="C10" s="95"/>
      <c r="D10" s="96"/>
      <c r="E10" s="96"/>
      <c r="F10" s="96"/>
      <c r="G10" s="96"/>
      <c r="H10" s="96"/>
      <c r="I10" s="96"/>
      <c r="J10" s="96"/>
      <c r="K10" s="96"/>
      <c r="L10" s="96"/>
      <c r="M10" s="96"/>
      <c r="N10" s="96"/>
      <c r="O10" s="96"/>
      <c r="P10" s="96"/>
      <c r="Q10" s="96"/>
      <c r="R10" s="96"/>
      <c r="S10" s="96"/>
      <c r="T10" s="96"/>
      <c r="U10" s="96"/>
      <c r="V10" s="96"/>
      <c r="W10" s="96"/>
      <c r="X10" s="96"/>
      <c r="Y10" s="96"/>
      <c r="Z10" s="97"/>
    </row>
    <row r="11" spans="2:40">
      <c r="B11" s="90"/>
      <c r="C11" s="89" t="s">
        <v>56</v>
      </c>
      <c r="D11" s="89" t="s">
        <v>5849</v>
      </c>
      <c r="E11" s="89" t="s">
        <v>3178</v>
      </c>
      <c r="F11" s="89" t="s">
        <v>5850</v>
      </c>
      <c r="G11" s="89" t="s">
        <v>5851</v>
      </c>
      <c r="H11" s="89" t="s">
        <v>5852</v>
      </c>
      <c r="I11" s="98" t="s">
        <v>5853</v>
      </c>
      <c r="J11" s="100"/>
      <c r="K11" s="100"/>
      <c r="L11" s="100"/>
      <c r="M11" s="100"/>
      <c r="N11" s="100"/>
      <c r="O11" s="100"/>
      <c r="P11" s="100"/>
      <c r="Q11" s="99"/>
      <c r="R11" s="98" t="s">
        <v>5863</v>
      </c>
      <c r="S11" s="100"/>
      <c r="T11" s="100"/>
      <c r="U11" s="100"/>
      <c r="V11" s="100"/>
      <c r="W11" s="99"/>
      <c r="X11" s="98" t="s">
        <v>5870</v>
      </c>
      <c r="Y11" s="99"/>
      <c r="Z11" s="55" t="s">
        <v>5872</v>
      </c>
    </row>
    <row r="12" spans="2:40" ht="150">
      <c r="B12" s="91"/>
      <c r="C12" s="91"/>
      <c r="D12" s="91"/>
      <c r="E12" s="91"/>
      <c r="F12" s="91"/>
      <c r="G12" s="91"/>
      <c r="H12" s="91"/>
      <c r="I12" s="55" t="s">
        <v>5854</v>
      </c>
      <c r="J12" s="55" t="s">
        <v>5855</v>
      </c>
      <c r="K12" s="55" t="s">
        <v>5856</v>
      </c>
      <c r="L12" s="55" t="s">
        <v>5857</v>
      </c>
      <c r="M12" s="55" t="s">
        <v>5858</v>
      </c>
      <c r="N12" s="55" t="s">
        <v>5859</v>
      </c>
      <c r="O12" s="55" t="s">
        <v>5860</v>
      </c>
      <c r="P12" s="55" t="s">
        <v>5861</v>
      </c>
      <c r="Q12" s="55" t="s">
        <v>5862</v>
      </c>
      <c r="R12" s="55" t="s">
        <v>5864</v>
      </c>
      <c r="S12" s="55" t="s">
        <v>5865</v>
      </c>
      <c r="T12" s="55" t="s">
        <v>5866</v>
      </c>
      <c r="U12" s="55" t="s">
        <v>5867</v>
      </c>
      <c r="V12" s="55" t="s">
        <v>5868</v>
      </c>
      <c r="W12" s="55" t="s">
        <v>5869</v>
      </c>
      <c r="X12" s="55" t="s">
        <v>4653</v>
      </c>
      <c r="Y12" s="55" t="s">
        <v>5871</v>
      </c>
      <c r="Z12" s="55" t="s">
        <v>5873</v>
      </c>
    </row>
    <row r="13" spans="2:40">
      <c r="B13" s="42" t="s">
        <v>3219</v>
      </c>
      <c r="C13" s="42" t="s">
        <v>2879</v>
      </c>
      <c r="D13" s="42" t="s">
        <v>3223</v>
      </c>
      <c r="E13" s="42" t="s">
        <v>3229</v>
      </c>
      <c r="F13" s="42" t="s">
        <v>3231</v>
      </c>
      <c r="G13" s="42" t="s">
        <v>3233</v>
      </c>
      <c r="H13" s="42" t="s">
        <v>3234</v>
      </c>
      <c r="I13" s="42" t="s">
        <v>3236</v>
      </c>
      <c r="J13" s="42" t="s">
        <v>3239</v>
      </c>
      <c r="K13" s="42" t="s">
        <v>3241</v>
      </c>
      <c r="L13" s="42" t="s">
        <v>3243</v>
      </c>
      <c r="M13" s="42" t="s">
        <v>3375</v>
      </c>
      <c r="N13" s="42" t="s">
        <v>3475</v>
      </c>
      <c r="O13" s="42" t="s">
        <v>3477</v>
      </c>
      <c r="P13" s="42" t="s">
        <v>3479</v>
      </c>
      <c r="Q13" s="42" t="s">
        <v>3594</v>
      </c>
      <c r="R13" s="42" t="s">
        <v>3596</v>
      </c>
      <c r="S13" s="42" t="s">
        <v>3599</v>
      </c>
      <c r="T13" s="42" t="s">
        <v>3481</v>
      </c>
      <c r="U13" s="42" t="s">
        <v>3508</v>
      </c>
      <c r="V13" s="42" t="s">
        <v>3509</v>
      </c>
      <c r="W13" s="42" t="s">
        <v>3511</v>
      </c>
      <c r="X13" s="42" t="s">
        <v>3513</v>
      </c>
      <c r="Y13" s="42" t="s">
        <v>3514</v>
      </c>
      <c r="Z13" s="42" t="s">
        <v>3515</v>
      </c>
      <c r="AM13" s="13" t="str">
        <f>Show!$B$174&amp;"S.32.01.04.01 Rows {"&amp;COLUMN($B$1)&amp;"}"&amp;"@ForceFilingCode:true"</f>
        <v>!S.32.01.04.01 Rows {2}@ForceFilingCode:true</v>
      </c>
      <c r="AN13" s="13" t="str">
        <f>Show!$B$174&amp;"S.32.01.04.01 Columns {"&amp;COLUMN($B$1)&amp;"}"</f>
        <v>!S.32.01.04.01 Columns {2}</v>
      </c>
    </row>
    <row r="14" spans="2:40">
      <c r="B14" s="50"/>
      <c r="C14" s="51"/>
      <c r="D14" s="51"/>
      <c r="E14" s="51"/>
      <c r="F14" s="51"/>
      <c r="G14" s="51"/>
      <c r="H14" s="51"/>
      <c r="I14" s="60"/>
      <c r="J14" s="60"/>
      <c r="K14" s="60"/>
      <c r="L14" s="60"/>
      <c r="M14" s="60"/>
      <c r="N14" s="60"/>
      <c r="O14" s="60"/>
      <c r="P14" s="60"/>
      <c r="Q14" s="51"/>
      <c r="R14" s="70"/>
      <c r="S14" s="70"/>
      <c r="T14" s="70"/>
      <c r="U14" s="51"/>
      <c r="V14" s="51"/>
      <c r="W14" s="70"/>
      <c r="X14" s="51"/>
      <c r="Y14" s="54"/>
      <c r="Z14" s="51"/>
    </row>
    <row r="16" spans="2:40">
      <c r="AM16" s="13" t="str">
        <f>Show!$B$174&amp;Show!$B$174&amp;"S.32.01.04.01 Rows {"&amp;COLUMN($B$1)&amp;"}"</f>
        <v>!!S.32.01.04.01 Rows {2}</v>
      </c>
      <c r="AN16" s="13" t="str">
        <f>Show!$B$174&amp;Show!$B$174&amp;"S.32.01.04.01 Columns {"&amp;COLUMN($Z$1)&amp;"}"</f>
        <v>!!S.32.01.04.01 Columns {26}</v>
      </c>
    </row>
  </sheetData>
  <sheetProtection sheet="1" objects="1" scenarios="1"/>
  <mergeCells count="13">
    <mergeCell ref="I11:Q11"/>
    <mergeCell ref="R11:W11"/>
    <mergeCell ref="X11:Y11"/>
    <mergeCell ref="B2:O2"/>
    <mergeCell ref="B5:L5"/>
    <mergeCell ref="B9:B12"/>
    <mergeCell ref="C9:Z10"/>
    <mergeCell ref="C11:C12"/>
    <mergeCell ref="D11:D12"/>
    <mergeCell ref="E11:E12"/>
    <mergeCell ref="F11:F12"/>
    <mergeCell ref="G11:G12"/>
    <mergeCell ref="H11:H12"/>
  </mergeCells>
  <dataValidations count="8">
    <dataValidation type="list" errorStyle="warning" allowBlank="1" showInputMessage="1" showErrorMessage="1" sqref="C14" xr:uid="{4B2EB700-03C2-4421-B7BE-18D6DDEBA986}">
      <formula1>hier_GA_18</formula1>
    </dataValidation>
    <dataValidation type="list" errorStyle="warning" allowBlank="1" showInputMessage="1" showErrorMessage="1" sqref="E14" xr:uid="{E72008E2-1694-4342-8D33-660D99F54D36}">
      <formula1>hier_SE_23</formula1>
    </dataValidation>
    <dataValidation type="list" errorStyle="warning" allowBlank="1" showInputMessage="1" showErrorMessage="1" sqref="G14" xr:uid="{BEBDA1A8-E6E5-440E-A042-B807BD358821}">
      <formula1>hier_SE_8</formula1>
    </dataValidation>
    <dataValidation type="list" errorStyle="warning" allowBlank="1" showInputMessage="1" showErrorMessage="1" sqref="Q14" xr:uid="{E082DB4E-4C66-4B47-A868-F4F156B6AFA9}">
      <formula1>hier_AM_11</formula1>
    </dataValidation>
    <dataValidation type="list" errorStyle="warning" allowBlank="1" showInputMessage="1" showErrorMessage="1" sqref="V14" xr:uid="{CC20ACA8-7907-4E74-9263-47D792B07C78}">
      <formula1>hier_CS_3</formula1>
    </dataValidation>
    <dataValidation type="list" errorStyle="warning" allowBlank="1" showInputMessage="1" showErrorMessage="1" sqref="X14" xr:uid="{8C807F28-3DFD-44A6-A73F-6D6D92AA6CD6}">
      <formula1>hier_CS_20</formula1>
    </dataValidation>
    <dataValidation type="date" operator="greaterThan" allowBlank="1" showInputMessage="1" showErrorMessage="1" errorTitle="Date value" error="This cell can only contain dates" sqref="Y14" xr:uid="{DA355CA5-5968-476B-B5B4-29251BC5D81C}">
      <formula1>1</formula1>
    </dataValidation>
    <dataValidation type="list" errorStyle="warning" allowBlank="1" showInputMessage="1" showErrorMessage="1" sqref="Z14" xr:uid="{BDEAA94F-1700-4A0B-B797-91C930562ADE}">
      <formula1>hier_CS_16</formula1>
    </dataValidation>
  </dataValidations>
  <pageMargins left="0.7" right="0.7" top="0.75" bottom="0.75" header="0.3" footer="0.3"/>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75F1D-61CC-46E9-854D-F50B52C0EA80}">
  <sheetPr codeName="Blad179"/>
  <dimension ref="B2:AC16"/>
  <sheetViews>
    <sheetView showGridLines="0" workbookViewId="0"/>
  </sheetViews>
  <sheetFormatPr defaultRowHeight="15"/>
  <cols>
    <col min="2" max="2" width="51.140625" bestFit="1" customWidth="1"/>
    <col min="3" max="8" width="40.7109375" customWidth="1"/>
    <col min="9" max="11" width="15.7109375" customWidth="1"/>
    <col min="12" max="13" width="40.7109375" customWidth="1"/>
    <col min="14" max="14" width="15.7109375" customWidth="1"/>
    <col min="15" max="15" width="40.7109375" customWidth="1"/>
    <col min="16" max="16" width="15.7109375" customWidth="1"/>
    <col min="17" max="17" width="40.7109375" customWidth="1"/>
  </cols>
  <sheetData>
    <row r="2" spans="2:29" ht="23.25">
      <c r="B2" s="86" t="s">
        <v>774</v>
      </c>
      <c r="C2" s="87"/>
      <c r="D2" s="87"/>
      <c r="E2" s="87"/>
      <c r="F2" s="87"/>
      <c r="G2" s="87"/>
      <c r="H2" s="87"/>
      <c r="I2" s="87"/>
      <c r="J2" s="87"/>
      <c r="K2" s="87"/>
      <c r="L2" s="87"/>
      <c r="M2" s="87"/>
      <c r="N2" s="87"/>
      <c r="O2" s="87"/>
    </row>
    <row r="5" spans="2:29" ht="18.75">
      <c r="B5" s="88" t="s">
        <v>5874</v>
      </c>
      <c r="C5" s="87"/>
      <c r="D5" s="87"/>
      <c r="E5" s="87"/>
      <c r="F5" s="87"/>
      <c r="G5" s="87"/>
      <c r="H5" s="87"/>
      <c r="I5" s="87"/>
      <c r="J5" s="87"/>
      <c r="K5" s="87"/>
      <c r="L5" s="87"/>
    </row>
    <row r="9" spans="2:29">
      <c r="B9" s="89" t="s">
        <v>3245</v>
      </c>
      <c r="C9" s="92" t="s">
        <v>2877</v>
      </c>
      <c r="D9" s="93"/>
      <c r="E9" s="93"/>
      <c r="F9" s="93"/>
      <c r="G9" s="93"/>
      <c r="H9" s="93"/>
      <c r="I9" s="93"/>
      <c r="J9" s="93"/>
      <c r="K9" s="93"/>
      <c r="L9" s="93"/>
      <c r="M9" s="93"/>
      <c r="N9" s="93"/>
      <c r="O9" s="93"/>
      <c r="P9" s="93"/>
      <c r="Q9" s="94"/>
    </row>
    <row r="10" spans="2:29">
      <c r="B10" s="90"/>
      <c r="C10" s="95"/>
      <c r="D10" s="96"/>
      <c r="E10" s="96"/>
      <c r="F10" s="96"/>
      <c r="G10" s="96"/>
      <c r="H10" s="96"/>
      <c r="I10" s="96"/>
      <c r="J10" s="96"/>
      <c r="K10" s="96"/>
      <c r="L10" s="96"/>
      <c r="M10" s="96"/>
      <c r="N10" s="96"/>
      <c r="O10" s="96"/>
      <c r="P10" s="96"/>
      <c r="Q10" s="97"/>
    </row>
    <row r="11" spans="2:29">
      <c r="B11" s="90"/>
      <c r="C11" s="89" t="s">
        <v>56</v>
      </c>
      <c r="D11" s="89" t="s">
        <v>5849</v>
      </c>
      <c r="E11" s="89" t="s">
        <v>3178</v>
      </c>
      <c r="F11" s="89" t="s">
        <v>5850</v>
      </c>
      <c r="G11" s="89" t="s">
        <v>5851</v>
      </c>
      <c r="H11" s="89" t="s">
        <v>5852</v>
      </c>
      <c r="I11" s="98" t="s">
        <v>5863</v>
      </c>
      <c r="J11" s="100"/>
      <c r="K11" s="100"/>
      <c r="L11" s="100"/>
      <c r="M11" s="100"/>
      <c r="N11" s="99"/>
      <c r="O11" s="98" t="s">
        <v>5870</v>
      </c>
      <c r="P11" s="99"/>
      <c r="Q11" s="55" t="s">
        <v>5872</v>
      </c>
    </row>
    <row r="12" spans="2:29" ht="60">
      <c r="B12" s="91"/>
      <c r="C12" s="91"/>
      <c r="D12" s="91"/>
      <c r="E12" s="91"/>
      <c r="F12" s="91"/>
      <c r="G12" s="91"/>
      <c r="H12" s="91"/>
      <c r="I12" s="55" t="s">
        <v>5864</v>
      </c>
      <c r="J12" s="55" t="s">
        <v>5865</v>
      </c>
      <c r="K12" s="55" t="s">
        <v>5866</v>
      </c>
      <c r="L12" s="55" t="s">
        <v>5867</v>
      </c>
      <c r="M12" s="55" t="s">
        <v>5868</v>
      </c>
      <c r="N12" s="55" t="s">
        <v>5869</v>
      </c>
      <c r="O12" s="55" t="s">
        <v>4653</v>
      </c>
      <c r="P12" s="55" t="s">
        <v>5871</v>
      </c>
      <c r="Q12" s="55" t="s">
        <v>5873</v>
      </c>
    </row>
    <row r="13" spans="2:29">
      <c r="B13" s="42" t="s">
        <v>3219</v>
      </c>
      <c r="C13" s="42" t="s">
        <v>2879</v>
      </c>
      <c r="D13" s="42" t="s">
        <v>3223</v>
      </c>
      <c r="E13" s="42" t="s">
        <v>3229</v>
      </c>
      <c r="F13" s="42" t="s">
        <v>3231</v>
      </c>
      <c r="G13" s="42" t="s">
        <v>3233</v>
      </c>
      <c r="H13" s="42" t="s">
        <v>3234</v>
      </c>
      <c r="I13" s="42" t="s">
        <v>3596</v>
      </c>
      <c r="J13" s="42" t="s">
        <v>3599</v>
      </c>
      <c r="K13" s="42" t="s">
        <v>3481</v>
      </c>
      <c r="L13" s="42" t="s">
        <v>3508</v>
      </c>
      <c r="M13" s="42" t="s">
        <v>3509</v>
      </c>
      <c r="N13" s="42" t="s">
        <v>3511</v>
      </c>
      <c r="O13" s="42" t="s">
        <v>3513</v>
      </c>
      <c r="P13" s="42" t="s">
        <v>3514</v>
      </c>
      <c r="Q13" s="42" t="s">
        <v>3515</v>
      </c>
      <c r="AB13" s="13" t="str">
        <f>Show!$B$175&amp;"S.32.01.22.01 Rows {"&amp;COLUMN($B$1)&amp;"}"&amp;"@ForceFilingCode:true"</f>
        <v>!S.32.01.22.01 Rows {2}@ForceFilingCode:true</v>
      </c>
      <c r="AC13" s="13" t="str">
        <f>Show!$B$175&amp;"S.32.01.22.01 Columns {"&amp;COLUMN($B$1)&amp;"}"</f>
        <v>!S.32.01.22.01 Columns {2}</v>
      </c>
    </row>
    <row r="14" spans="2:29">
      <c r="B14" s="50"/>
      <c r="C14" s="51"/>
      <c r="D14" s="51"/>
      <c r="E14" s="51"/>
      <c r="F14" s="51"/>
      <c r="G14" s="51"/>
      <c r="H14" s="51"/>
      <c r="I14" s="70"/>
      <c r="J14" s="70"/>
      <c r="K14" s="70"/>
      <c r="L14" s="51"/>
      <c r="M14" s="51"/>
      <c r="N14" s="70"/>
      <c r="O14" s="51"/>
      <c r="P14" s="54"/>
      <c r="Q14" s="51"/>
    </row>
    <row r="16" spans="2:29">
      <c r="AB16" s="13" t="str">
        <f>Show!$B$175&amp;Show!$B$175&amp;"S.32.01.22.01 Rows {"&amp;COLUMN($B$1)&amp;"}"</f>
        <v>!!S.32.01.22.01 Rows {2}</v>
      </c>
      <c r="AC16" s="13" t="str">
        <f>Show!$B$175&amp;Show!$B$175&amp;"S.32.01.22.01 Columns {"&amp;COLUMN($Q$1)&amp;"}"</f>
        <v>!!S.32.01.22.01 Columns {17}</v>
      </c>
    </row>
  </sheetData>
  <sheetProtection sheet="1" objects="1" scenarios="1"/>
  <mergeCells count="12">
    <mergeCell ref="I11:N11"/>
    <mergeCell ref="O11:P11"/>
    <mergeCell ref="B2:O2"/>
    <mergeCell ref="B5:L5"/>
    <mergeCell ref="B9:B12"/>
    <mergeCell ref="C9:Q10"/>
    <mergeCell ref="C11:C12"/>
    <mergeCell ref="D11:D12"/>
    <mergeCell ref="E11:E12"/>
    <mergeCell ref="F11:F12"/>
    <mergeCell ref="G11:G12"/>
    <mergeCell ref="H11:H12"/>
  </mergeCells>
  <dataValidations count="7">
    <dataValidation type="list" errorStyle="warning" allowBlank="1" showInputMessage="1" showErrorMessage="1" sqref="C14" xr:uid="{C001192D-3A98-48B2-BBA7-AFE566472A90}">
      <formula1>hier_GA_18</formula1>
    </dataValidation>
    <dataValidation type="list" errorStyle="warning" allowBlank="1" showInputMessage="1" showErrorMessage="1" sqref="E14" xr:uid="{30C87043-D9BC-462C-9147-4039C92B01EA}">
      <formula1>hier_SE_23</formula1>
    </dataValidation>
    <dataValidation type="list" errorStyle="warning" allowBlank="1" showInputMessage="1" showErrorMessage="1" sqref="G14" xr:uid="{14E8F232-EFB0-46C5-B797-F3E4129432B1}">
      <formula1>hier_SE_8</formula1>
    </dataValidation>
    <dataValidation type="list" errorStyle="warning" allowBlank="1" showInputMessage="1" showErrorMessage="1" sqref="M14" xr:uid="{4FA1DF5D-CB0A-424E-9AC4-3460F671C2C0}">
      <formula1>hier_CS_3</formula1>
    </dataValidation>
    <dataValidation type="list" errorStyle="warning" allowBlank="1" showInputMessage="1" showErrorMessage="1" sqref="O14" xr:uid="{32CD673B-7399-42CE-9879-93D499E314A2}">
      <formula1>hier_CS_20</formula1>
    </dataValidation>
    <dataValidation type="date" operator="greaterThan" allowBlank="1" showInputMessage="1" showErrorMessage="1" errorTitle="Date value" error="This cell can only contain dates" sqref="P14" xr:uid="{62BB5A44-70C9-4973-8C57-3525698D4E42}">
      <formula1>1</formula1>
    </dataValidation>
    <dataValidation type="list" errorStyle="warning" allowBlank="1" showInputMessage="1" showErrorMessage="1" sqref="Q14" xr:uid="{D21439E2-FE55-4D77-89C1-2118A1F793D2}">
      <formula1>hier_CS_16</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D3710-32D4-40AB-80E3-2EADE11FE3FA}">
  <sheetPr codeName="Blad18"/>
  <dimension ref="B2:O36"/>
  <sheetViews>
    <sheetView showGridLines="0" workbookViewId="0"/>
  </sheetViews>
  <sheetFormatPr defaultRowHeight="15"/>
  <cols>
    <col min="2" max="2" width="85.7109375" customWidth="1"/>
    <col min="4" max="4" width="40.7109375" customWidth="1"/>
  </cols>
  <sheetData>
    <row r="2" spans="2:15" ht="23.25">
      <c r="B2" s="86" t="s">
        <v>512</v>
      </c>
      <c r="C2" s="87"/>
      <c r="D2" s="87"/>
      <c r="E2" s="87"/>
      <c r="F2" s="87"/>
      <c r="G2" s="87"/>
      <c r="H2" s="87"/>
      <c r="I2" s="87"/>
      <c r="J2" s="87"/>
      <c r="K2" s="87"/>
      <c r="L2" s="87"/>
      <c r="M2" s="87"/>
      <c r="N2" s="87"/>
      <c r="O2" s="87"/>
    </row>
    <row r="5" spans="2:15" ht="18.75">
      <c r="B5" s="88" t="s">
        <v>3109</v>
      </c>
      <c r="C5" s="87"/>
      <c r="D5" s="87"/>
      <c r="E5" s="87"/>
      <c r="F5" s="87"/>
      <c r="G5" s="87"/>
      <c r="H5" s="87"/>
      <c r="I5" s="87"/>
      <c r="J5" s="87"/>
      <c r="K5" s="87"/>
      <c r="L5" s="87"/>
    </row>
    <row r="7" spans="2:15">
      <c r="B7" t="s">
        <v>3110</v>
      </c>
      <c r="I7" s="13" t="str">
        <f>IF(COUNTIF(D:D,"Reported")&gt;0,Show!$B$14,"!")&amp;"SR.01.01.01.01 Table label {"&amp;COLUMN($C$1)&amp;"}"</f>
        <v>!SR.01.01.01.01 Table label {3}</v>
      </c>
      <c r="J7" s="13" t="str">
        <f>IF(COUNTIF(D:D,"Reported")&gt;0,Show!$B$14,"!")&amp;"SR.01.01.01.01 Table value {"&amp;COLUMN($D$1)&amp;"}"</f>
        <v>!SR.01.01.01.01 Table value {4}</v>
      </c>
    </row>
    <row r="8" spans="2:15">
      <c r="B8" t="s">
        <v>3111</v>
      </c>
    </row>
    <row r="9" spans="2:15">
      <c r="B9" s="40" t="s">
        <v>3112</v>
      </c>
      <c r="C9" s="53" t="s">
        <v>3113</v>
      </c>
      <c r="D9" s="51"/>
    </row>
    <row r="10" spans="2:15">
      <c r="B10" s="40" t="s">
        <v>3114</v>
      </c>
      <c r="C10" s="53" t="s">
        <v>3115</v>
      </c>
      <c r="D10" s="50"/>
    </row>
    <row r="11" spans="2:15">
      <c r="I11" s="13" t="str">
        <f>IF(COUNTIF(D:D,"Reported")&gt;0,Show!$B$14&amp;Show!$B$14,"!!")&amp;"SR.01.01.01.01 Table label {"&amp;COLUMN($C$1)&amp;"}"</f>
        <v>!!SR.01.01.01.01 Table label {3}</v>
      </c>
      <c r="J11" s="13" t="str">
        <f>IF(COUNTIF(D:D,"Reported")&gt;0,Show!$B$14&amp;Show!$B$14,"!!")&amp;"SR.01.01.01.01 Table value {"&amp;COLUMN($D$1)&amp;"}"</f>
        <v>!!SR.01.01.01.01 Table value {4}</v>
      </c>
    </row>
    <row r="13" spans="2:15">
      <c r="D13" s="89" t="s">
        <v>2877</v>
      </c>
    </row>
    <row r="14" spans="2:15">
      <c r="D14" s="90"/>
    </row>
    <row r="15" spans="2:15">
      <c r="D15" s="90"/>
    </row>
    <row r="16" spans="2:15">
      <c r="D16" s="91"/>
    </row>
    <row r="17" spans="2:10">
      <c r="D17" s="45" t="s">
        <v>2879</v>
      </c>
      <c r="I17" s="13" t="str">
        <f>IF(COUNTIF(D:D,"Reported")&gt;0,Show!$B$14,"!")&amp;"SR.01.01.01.01 Rows {"&amp;COLUMN($C$1)&amp;"}"&amp;"@ForceFilingCode:true"</f>
        <v>!SR.01.01.01.01 Rows {3}@ForceFilingCode:true</v>
      </c>
      <c r="J17" s="13" t="str">
        <f>IF(COUNTIF(D:D,"Reported")&gt;0,Show!$B$14,"!")&amp;"SR.01.01.01.01 Columns {"&amp;COLUMN($D$1)&amp;"}"</f>
        <v>!SR.01.01.01.01 Columns {4}</v>
      </c>
    </row>
    <row r="18" spans="2:10">
      <c r="B18" s="43" t="s">
        <v>2880</v>
      </c>
      <c r="C18" s="44" t="s">
        <v>2878</v>
      </c>
      <c r="D18" s="48"/>
    </row>
    <row r="19" spans="2:10">
      <c r="B19" s="47" t="s">
        <v>2881</v>
      </c>
      <c r="C19" s="44" t="s">
        <v>2878</v>
      </c>
      <c r="D19" s="46"/>
    </row>
    <row r="20" spans="2:10">
      <c r="B20" s="52" t="s">
        <v>3117</v>
      </c>
      <c r="C20" s="41" t="s">
        <v>3118</v>
      </c>
      <c r="D20" s="51"/>
    </row>
    <row r="21" spans="2:10">
      <c r="B21" s="52" t="s">
        <v>3119</v>
      </c>
      <c r="C21" s="41" t="s">
        <v>3120</v>
      </c>
      <c r="D21" s="51"/>
    </row>
    <row r="22" spans="2:10">
      <c r="B22" s="52" t="s">
        <v>3121</v>
      </c>
      <c r="C22" s="41" t="s">
        <v>3122</v>
      </c>
      <c r="D22" s="51"/>
    </row>
    <row r="23" spans="2:10">
      <c r="B23" s="52" t="s">
        <v>3123</v>
      </c>
      <c r="C23" s="41" t="s">
        <v>3124</v>
      </c>
      <c r="D23" s="51"/>
    </row>
    <row r="24" spans="2:10">
      <c r="B24" s="52" t="s">
        <v>3125</v>
      </c>
      <c r="C24" s="41" t="s">
        <v>3126</v>
      </c>
      <c r="D24" s="51"/>
    </row>
    <row r="25" spans="2:10">
      <c r="B25" s="52" t="s">
        <v>3127</v>
      </c>
      <c r="C25" s="41" t="s">
        <v>3128</v>
      </c>
      <c r="D25" s="51"/>
    </row>
    <row r="26" spans="2:10" ht="30">
      <c r="B26" s="52" t="s">
        <v>3129</v>
      </c>
      <c r="C26" s="41" t="s">
        <v>3130</v>
      </c>
      <c r="D26" s="51"/>
    </row>
    <row r="27" spans="2:10">
      <c r="B27" s="52" t="s">
        <v>3131</v>
      </c>
      <c r="C27" s="41" t="s">
        <v>3132</v>
      </c>
      <c r="D27" s="51"/>
    </row>
    <row r="28" spans="2:10">
      <c r="B28" s="52" t="s">
        <v>3133</v>
      </c>
      <c r="C28" s="41" t="s">
        <v>3134</v>
      </c>
      <c r="D28" s="51"/>
    </row>
    <row r="29" spans="2:10">
      <c r="B29" s="52" t="s">
        <v>3135</v>
      </c>
      <c r="C29" s="41" t="s">
        <v>3136</v>
      </c>
      <c r="D29" s="51"/>
    </row>
    <row r="30" spans="2:10">
      <c r="B30" s="52" t="s">
        <v>3137</v>
      </c>
      <c r="C30" s="41" t="s">
        <v>3138</v>
      </c>
      <c r="D30" s="51"/>
    </row>
    <row r="31" spans="2:10">
      <c r="B31" s="52" t="s">
        <v>3139</v>
      </c>
      <c r="C31" s="41" t="s">
        <v>3140</v>
      </c>
      <c r="D31" s="51"/>
    </row>
    <row r="32" spans="2:10">
      <c r="B32" s="52" t="s">
        <v>3141</v>
      </c>
      <c r="C32" s="41" t="s">
        <v>3142</v>
      </c>
      <c r="D32" s="51"/>
    </row>
    <row r="33" spans="2:10">
      <c r="B33" s="52" t="s">
        <v>3143</v>
      </c>
      <c r="C33" s="41" t="s">
        <v>3144</v>
      </c>
      <c r="D33" s="51"/>
    </row>
    <row r="34" spans="2:10">
      <c r="B34" s="52" t="s">
        <v>3145</v>
      </c>
      <c r="C34" s="41" t="s">
        <v>3146</v>
      </c>
      <c r="D34" s="51"/>
    </row>
    <row r="35" spans="2:10">
      <c r="B35" s="52" t="s">
        <v>3147</v>
      </c>
      <c r="C35" s="41" t="s">
        <v>3148</v>
      </c>
      <c r="D35" s="51"/>
    </row>
    <row r="36" spans="2:10">
      <c r="I36" s="13" t="str">
        <f>IF(COUNTIF(D:D,"Reported")&gt;0,Show!$B$14&amp;Show!$B$14,"!!")&amp;"SR.01.01.01.01 Rows {"&amp;COLUMN($C$1)&amp;"}"</f>
        <v>!!SR.01.01.01.01 Rows {3}</v>
      </c>
      <c r="J36" s="13" t="str">
        <f>IF(COUNTIF(D:D,"Reported")&gt;0,Show!$B$14&amp;Show!$B$14,"!!")&amp;"SR.01.01.01.01 Columns {"&amp;COLUMN($D$1)&amp;"}"</f>
        <v>!!SR.01.01.01.01 Columns {4}</v>
      </c>
    </row>
  </sheetData>
  <sheetProtection sheet="1" objects="1" scenarios="1"/>
  <mergeCells count="3">
    <mergeCell ref="B2:O2"/>
    <mergeCell ref="B5:L5"/>
    <mergeCell ref="D13:D16"/>
  </mergeCells>
  <dataValidations count="12">
    <dataValidation type="list" errorStyle="warning" allowBlank="1" showInputMessage="1" showErrorMessage="1" sqref="D9" xr:uid="{62637B95-1F3B-4911-87CF-14DD322AC9F8}">
      <formula1>hier_PU_20</formula1>
    </dataValidation>
    <dataValidation type="list" errorStyle="warning" allowBlank="1" showInputMessage="1" showErrorMessage="1" sqref="D20" xr:uid="{BDEEB7EB-9F80-469A-936C-BC9395CA5ACA}">
      <formula1>hier_CN_77</formula1>
    </dataValidation>
    <dataValidation type="list" errorStyle="warning" allowBlank="1" showInputMessage="1" showErrorMessage="1" sqref="D21" xr:uid="{0BA5728B-E51F-466E-A298-FA20B6E3C512}">
      <formula1>hier_CN_92</formula1>
    </dataValidation>
    <dataValidation type="list" errorStyle="warning" allowBlank="1" showInputMessage="1" showErrorMessage="1" sqref="D22" xr:uid="{8CEDE2FB-DE6E-4846-B60E-49919BB2F23E}">
      <formula1>hier_CN_93</formula1>
    </dataValidation>
    <dataValidation type="list" errorStyle="warning" allowBlank="1" showInputMessage="1" showErrorMessage="1" sqref="D23 D24" xr:uid="{C44B0C28-6BD7-4278-8F8C-10C6BE383CDF}">
      <formula1>hier_CN_79</formula1>
    </dataValidation>
    <dataValidation type="list" errorStyle="warning" allowBlank="1" showInputMessage="1" showErrorMessage="1" sqref="D25" xr:uid="{0CF9EB20-CC4F-4DCE-A02C-1830A4C88994}">
      <formula1>hier_CN_108</formula1>
    </dataValidation>
    <dataValidation type="list" errorStyle="warning" allowBlank="1" showInputMessage="1" showErrorMessage="1" sqref="D26" xr:uid="{983ADE32-14F6-4C8B-8463-0C0D542C30F7}">
      <formula1>hier_CN_8</formula1>
    </dataValidation>
    <dataValidation type="list" errorStyle="warning" allowBlank="1" showInputMessage="1" showErrorMessage="1" sqref="D27" xr:uid="{F5D2E61A-6A78-4F05-B622-200D3D58AF51}">
      <formula1>hier_CN_9</formula1>
    </dataValidation>
    <dataValidation type="list" errorStyle="warning" allowBlank="1" showInputMessage="1" showErrorMessage="1" sqref="D28 D29 D30 D31 D32" xr:uid="{A20DC00A-5C1C-4DB9-B7AA-18535476145C}">
      <formula1>hier_CN_124</formula1>
    </dataValidation>
    <dataValidation type="list" errorStyle="warning" allowBlank="1" showInputMessage="1" showErrorMessage="1" sqref="D33" xr:uid="{975298A8-8253-4719-A276-63DA24462B63}">
      <formula1>hier_CN_53</formula1>
    </dataValidation>
    <dataValidation type="list" errorStyle="warning" allowBlank="1" showInputMessage="1" showErrorMessage="1" sqref="D34" xr:uid="{865849C8-A804-42AA-8BD1-ACE270B16FFC}">
      <formula1>hier_CN_55</formula1>
    </dataValidation>
    <dataValidation type="list" errorStyle="warning" allowBlank="1" showInputMessage="1" showErrorMessage="1" sqref="D35" xr:uid="{87EBB898-A26B-45C1-ABCE-819932147138}">
      <formula1>hier_CN_51</formula1>
    </dataValidation>
  </dataValidations>
  <hyperlinks>
    <hyperlink ref="B20" location="'SR.02.01.01'!A1" display="SR.02.01.01 - Balance sheet" xr:uid="{9BC60BC0-264C-4596-941A-28FD517BCB92}"/>
    <hyperlink ref="B21" location="'SR.12.01.01'!A1" display="SR.12.01.01 - Life and Health SLT Technical Provisions" xr:uid="{A7D928FF-1228-418C-82E0-93B73A923B74}"/>
    <hyperlink ref="B22" location="'SR.17.01.01'!A1" display="SR.17.01.01 - Non-Life Technical Provisions" xr:uid="{80C56BA7-7927-40AB-AF5F-86EBAE1D8850}"/>
    <hyperlink ref="B23" location="'SR.22.02.01'!A1" display="SR.22.02.01 - Projection of future cash flows (Best Estimate - Matching portfolios)" xr:uid="{D010AC17-52E2-4CB9-A249-A94E1348D4E9}"/>
    <hyperlink ref="B24" location="'SR.22.03.01'!A1" display="SR.22.03.01 - Information on the matching adjustment calculation" xr:uid="{ACE23CB2-8237-42D6-B840-7DB72E110C04}"/>
    <hyperlink ref="B25" location="'SR.25.01.01'!A1" display="SR.25.01.01 - Solvency Capital Requirement - for undertakings on Standard Formula" xr:uid="{F71ABABE-B9EC-4725-9293-3769BAC10525}"/>
    <hyperlink ref="B26" location="'SR.25.02.01'!A1" display="SR.25.02.01 - Solvency Capital Requirement - for undertakings using the standard formula and partial internal model" xr:uid="{5158C145-FDB6-4EB8-9650-614F2623C0DA}"/>
    <hyperlink ref="B27" location="'SR.25.03.01'!A1" display="SR.25.03.01 - Solvency Capital Requirement - for undertakings on Full Internal Models" xr:uid="{690D8D50-7F58-4FBC-9CE0-048C548FE6DF}"/>
    <hyperlink ref="B28" location="'SR.26.01.01'!A1" display="SR.26.01.01 - Solvency Capital Requirement - Market risk" xr:uid="{66AB775E-AA19-4D97-B76E-9823C2FEB846}"/>
    <hyperlink ref="B29" location="'SR.26.02.01'!A1" display="SR.26.02.01 - Solvency Capital Requirement - Counterparty default risk" xr:uid="{6386B098-99FF-4C3E-836A-71366FEAF64F}"/>
    <hyperlink ref="B30" location="'SR.26.03.01'!A1" display="SR.26.03.01 - Solvency Capital Requirement - Life underwriting risk" xr:uid="{56077F5B-5B94-47FD-B890-A8E3FA04027B}"/>
    <hyperlink ref="B31" location="'SR.26.04.01'!A1" display="SR.26.04.01 - Solvency Capital Requirement - Health underwriting risk" xr:uid="{8221D6FD-0D5E-43AB-955E-124315FB8261}"/>
    <hyperlink ref="B32" location="'SR.26.05.01'!A1" display="SR.26.05.01 - Solvency Capital Requirement - Non-Life underwriting risk" xr:uid="{9C376212-47B0-4EE7-AC5F-06B4CD1475BD}"/>
    <hyperlink ref="B33" location="'SR.26.06.01'!A1" display="SR.26.06.01 - Solvency Capital Requirement - Operational risk" xr:uid="{717B47AD-529C-4C13-B4AE-FF9C984F1C9B}"/>
    <hyperlink ref="B34" location="'SR.26.07.01'!A1" display="SR.26.07.01 - Solvency Capital Requirement - Simplifications" xr:uid="{F84F0FFF-E935-4F05-A714-6A67F7FD8C76}"/>
    <hyperlink ref="B35" location="'SR.27.01.01'!A1" display="SR.27.01.01 - Solvency Capital Requirement - Non-life and Health catastrophe risk" xr:uid="{724F3CB7-8499-4B72-BA98-765FA8749C1E}"/>
  </hyperlinks>
  <pageMargins left="0.7" right="0.7" top="0.75" bottom="0.75" header="0.3" footer="0.3"/>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D9298-7EFB-4345-9CFC-FA1084B24EEA}">
  <sheetPr codeName="Blad180"/>
  <dimension ref="B2:AQ17"/>
  <sheetViews>
    <sheetView showGridLines="0" workbookViewId="0"/>
  </sheetViews>
  <sheetFormatPr defaultRowHeight="15"/>
  <cols>
    <col min="2" max="2" width="51.140625" bestFit="1" customWidth="1"/>
    <col min="3" max="3" width="40.7109375" customWidth="1"/>
    <col min="4" max="4" width="15.7109375" customWidth="1"/>
    <col min="5" max="5" width="40.7109375" customWidth="1"/>
    <col min="6" max="14" width="15.7109375" customWidth="1"/>
    <col min="15" max="18" width="40.7109375" customWidth="1"/>
    <col min="19" max="22" width="15.7109375" customWidth="1"/>
    <col min="23" max="23" width="40.7109375" customWidth="1"/>
    <col min="24" max="26" width="15.7109375" customWidth="1"/>
  </cols>
  <sheetData>
    <row r="2" spans="2:43" ht="23.25">
      <c r="B2" s="86" t="s">
        <v>777</v>
      </c>
      <c r="C2" s="87"/>
      <c r="D2" s="87"/>
      <c r="E2" s="87"/>
      <c r="F2" s="87"/>
      <c r="G2" s="87"/>
      <c r="H2" s="87"/>
      <c r="I2" s="87"/>
      <c r="J2" s="87"/>
      <c r="K2" s="87"/>
      <c r="L2" s="87"/>
      <c r="M2" s="87"/>
      <c r="N2" s="87"/>
      <c r="O2" s="87"/>
    </row>
    <row r="5" spans="2:43" ht="18.75">
      <c r="B5" s="88" t="s">
        <v>5875</v>
      </c>
      <c r="C5" s="87"/>
      <c r="D5" s="87"/>
      <c r="E5" s="87"/>
      <c r="F5" s="87"/>
      <c r="G5" s="87"/>
      <c r="H5" s="87"/>
      <c r="I5" s="87"/>
      <c r="J5" s="87"/>
      <c r="K5" s="87"/>
      <c r="L5" s="87"/>
    </row>
    <row r="9" spans="2:43">
      <c r="B9" s="89" t="s">
        <v>3245</v>
      </c>
      <c r="C9" s="89" t="s">
        <v>5876</v>
      </c>
      <c r="D9" s="89" t="s">
        <v>5877</v>
      </c>
      <c r="E9" s="92" t="s">
        <v>2877</v>
      </c>
      <c r="F9" s="93"/>
      <c r="G9" s="93"/>
      <c r="H9" s="93"/>
      <c r="I9" s="93"/>
      <c r="J9" s="93"/>
      <c r="K9" s="93"/>
      <c r="L9" s="93"/>
      <c r="M9" s="93"/>
      <c r="N9" s="93"/>
      <c r="O9" s="93"/>
      <c r="P9" s="93"/>
      <c r="Q9" s="93"/>
      <c r="R9" s="93"/>
      <c r="S9" s="93"/>
      <c r="T9" s="93"/>
      <c r="U9" s="93"/>
      <c r="V9" s="93"/>
      <c r="W9" s="93"/>
      <c r="X9" s="93"/>
      <c r="Y9" s="93"/>
      <c r="Z9" s="94"/>
    </row>
    <row r="10" spans="2:43">
      <c r="B10" s="90"/>
      <c r="C10" s="90"/>
      <c r="D10" s="90"/>
      <c r="E10" s="95"/>
      <c r="F10" s="96"/>
      <c r="G10" s="96"/>
      <c r="H10" s="96"/>
      <c r="I10" s="96"/>
      <c r="J10" s="96"/>
      <c r="K10" s="96"/>
      <c r="L10" s="96"/>
      <c r="M10" s="96"/>
      <c r="N10" s="96"/>
      <c r="O10" s="96"/>
      <c r="P10" s="96"/>
      <c r="Q10" s="96"/>
      <c r="R10" s="96"/>
      <c r="S10" s="96"/>
      <c r="T10" s="96"/>
      <c r="U10" s="96"/>
      <c r="V10" s="96"/>
      <c r="W10" s="96"/>
      <c r="X10" s="96"/>
      <c r="Y10" s="96"/>
      <c r="Z10" s="97"/>
    </row>
    <row r="11" spans="2:43">
      <c r="B11" s="90"/>
      <c r="C11" s="90"/>
      <c r="D11" s="90"/>
      <c r="E11" s="89" t="s">
        <v>3246</v>
      </c>
      <c r="F11" s="98" t="s">
        <v>5878</v>
      </c>
      <c r="G11" s="100"/>
      <c r="H11" s="100"/>
      <c r="I11" s="100"/>
      <c r="J11" s="100"/>
      <c r="K11" s="100"/>
      <c r="L11" s="100"/>
      <c r="M11" s="100"/>
      <c r="N11" s="100"/>
      <c r="O11" s="100"/>
      <c r="P11" s="100"/>
      <c r="Q11" s="100"/>
      <c r="R11" s="100"/>
      <c r="S11" s="100"/>
      <c r="T11" s="100"/>
      <c r="U11" s="100"/>
      <c r="V11" s="100"/>
      <c r="W11" s="99"/>
      <c r="X11" s="98" t="s">
        <v>5899</v>
      </c>
      <c r="Y11" s="100"/>
      <c r="Z11" s="99"/>
    </row>
    <row r="12" spans="2:43">
      <c r="B12" s="90"/>
      <c r="C12" s="90"/>
      <c r="D12" s="90"/>
      <c r="E12" s="90"/>
      <c r="F12" s="89" t="s">
        <v>5879</v>
      </c>
      <c r="G12" s="89" t="s">
        <v>5880</v>
      </c>
      <c r="H12" s="89" t="s">
        <v>5881</v>
      </c>
      <c r="I12" s="89" t="s">
        <v>5882</v>
      </c>
      <c r="J12" s="89" t="s">
        <v>5883</v>
      </c>
      <c r="K12" s="89" t="s">
        <v>5884</v>
      </c>
      <c r="L12" s="89" t="s">
        <v>5885</v>
      </c>
      <c r="M12" s="89" t="s">
        <v>5886</v>
      </c>
      <c r="N12" s="89" t="s">
        <v>5887</v>
      </c>
      <c r="O12" s="98" t="s">
        <v>5888</v>
      </c>
      <c r="P12" s="100"/>
      <c r="Q12" s="99"/>
      <c r="R12" s="98" t="s">
        <v>5891</v>
      </c>
      <c r="S12" s="100"/>
      <c r="T12" s="99"/>
      <c r="U12" s="98" t="s">
        <v>5895</v>
      </c>
      <c r="V12" s="100"/>
      <c r="W12" s="99"/>
      <c r="X12" s="89" t="s">
        <v>5900</v>
      </c>
      <c r="Y12" s="89" t="s">
        <v>5901</v>
      </c>
      <c r="Z12" s="89" t="s">
        <v>5902</v>
      </c>
    </row>
    <row r="13" spans="2:43" ht="45">
      <c r="B13" s="91"/>
      <c r="C13" s="91"/>
      <c r="D13" s="91"/>
      <c r="E13" s="91"/>
      <c r="F13" s="91"/>
      <c r="G13" s="91"/>
      <c r="H13" s="91"/>
      <c r="I13" s="91"/>
      <c r="J13" s="91"/>
      <c r="K13" s="91"/>
      <c r="L13" s="91"/>
      <c r="M13" s="91"/>
      <c r="N13" s="91"/>
      <c r="O13" s="55" t="s">
        <v>1172</v>
      </c>
      <c r="P13" s="55" t="s">
        <v>5889</v>
      </c>
      <c r="Q13" s="55" t="s">
        <v>5890</v>
      </c>
      <c r="R13" s="55" t="s">
        <v>5892</v>
      </c>
      <c r="S13" s="55" t="s">
        <v>5893</v>
      </c>
      <c r="T13" s="55" t="s">
        <v>5894</v>
      </c>
      <c r="U13" s="55" t="s">
        <v>5896</v>
      </c>
      <c r="V13" s="55" t="s">
        <v>5897</v>
      </c>
      <c r="W13" s="55" t="s">
        <v>5898</v>
      </c>
      <c r="X13" s="91"/>
      <c r="Y13" s="91"/>
      <c r="Z13" s="91"/>
    </row>
    <row r="14" spans="2:43">
      <c r="B14" s="42" t="s">
        <v>3219</v>
      </c>
      <c r="C14" s="42" t="s">
        <v>3223</v>
      </c>
      <c r="D14" s="42" t="s">
        <v>3229</v>
      </c>
      <c r="E14" s="42" t="s">
        <v>2879</v>
      </c>
      <c r="F14" s="42" t="s">
        <v>3231</v>
      </c>
      <c r="G14" s="42" t="s">
        <v>3233</v>
      </c>
      <c r="H14" s="42" t="s">
        <v>3234</v>
      </c>
      <c r="I14" s="42" t="s">
        <v>3236</v>
      </c>
      <c r="J14" s="42" t="s">
        <v>3239</v>
      </c>
      <c r="K14" s="42" t="s">
        <v>3241</v>
      </c>
      <c r="L14" s="42" t="s">
        <v>3243</v>
      </c>
      <c r="M14" s="42" t="s">
        <v>3375</v>
      </c>
      <c r="N14" s="42" t="s">
        <v>3475</v>
      </c>
      <c r="O14" s="42" t="s">
        <v>3477</v>
      </c>
      <c r="P14" s="42" t="s">
        <v>3479</v>
      </c>
      <c r="Q14" s="42" t="s">
        <v>3594</v>
      </c>
      <c r="R14" s="42" t="s">
        <v>3596</v>
      </c>
      <c r="S14" s="42" t="s">
        <v>3599</v>
      </c>
      <c r="T14" s="42" t="s">
        <v>3481</v>
      </c>
      <c r="U14" s="42" t="s">
        <v>3508</v>
      </c>
      <c r="V14" s="42" t="s">
        <v>3509</v>
      </c>
      <c r="W14" s="42" t="s">
        <v>3511</v>
      </c>
      <c r="X14" s="42" t="s">
        <v>3513</v>
      </c>
      <c r="Y14" s="42" t="s">
        <v>3514</v>
      </c>
      <c r="Z14" s="42" t="s">
        <v>3515</v>
      </c>
      <c r="AP14" s="13" t="str">
        <f>Show!$B$176&amp;"S.33.01.04.01 Rows {"&amp;COLUMN($B$1)&amp;"}"&amp;"@ForceFilingCode:true"</f>
        <v>!S.33.01.04.01 Rows {2}@ForceFilingCode:true</v>
      </c>
      <c r="AQ14" s="13" t="str">
        <f>Show!$B$176&amp;"S.33.01.04.01 Columns {"&amp;COLUMN($B$1)&amp;"}"</f>
        <v>!S.33.01.04.01 Columns {2}</v>
      </c>
    </row>
    <row r="15" spans="2:43">
      <c r="B15" s="50"/>
      <c r="C15" s="51"/>
      <c r="D15" s="50"/>
      <c r="E15" s="51"/>
      <c r="F15" s="60"/>
      <c r="G15" s="60"/>
      <c r="H15" s="60"/>
      <c r="I15" s="60"/>
      <c r="J15" s="60"/>
      <c r="K15" s="60"/>
      <c r="L15" s="60"/>
      <c r="M15" s="60"/>
      <c r="N15" s="60"/>
      <c r="O15" s="51"/>
      <c r="P15" s="51"/>
      <c r="Q15" s="51"/>
      <c r="R15" s="51"/>
      <c r="S15" s="54"/>
      <c r="T15" s="54"/>
      <c r="U15" s="54"/>
      <c r="V15" s="60"/>
      <c r="W15" s="51"/>
      <c r="X15" s="60"/>
      <c r="Y15" s="60"/>
      <c r="Z15" s="60"/>
    </row>
    <row r="17" spans="42:43">
      <c r="AP17" s="13" t="str">
        <f>Show!$B$176&amp;Show!$B$176&amp;"S.33.01.04.01 Rows {"&amp;COLUMN($B$1)&amp;"}"</f>
        <v>!!S.33.01.04.01 Rows {2}</v>
      </c>
      <c r="AQ17" s="13" t="str">
        <f>Show!$B$176&amp;Show!$B$176&amp;"S.33.01.04.01 Columns {"&amp;COLUMN($Z$1)&amp;"}"</f>
        <v>!!S.33.01.04.01 Columns {26}</v>
      </c>
    </row>
  </sheetData>
  <sheetProtection sheet="1" objects="1" scenarios="1"/>
  <mergeCells count="24">
    <mergeCell ref="L12:L13"/>
    <mergeCell ref="B2:O2"/>
    <mergeCell ref="B5:L5"/>
    <mergeCell ref="B9:B13"/>
    <mergeCell ref="C9:C13"/>
    <mergeCell ref="D9:D13"/>
    <mergeCell ref="E9:Z10"/>
    <mergeCell ref="E11:E13"/>
    <mergeCell ref="F11:W11"/>
    <mergeCell ref="X11:Z11"/>
    <mergeCell ref="F12:F13"/>
    <mergeCell ref="G12:G13"/>
    <mergeCell ref="H12:H13"/>
    <mergeCell ref="I12:I13"/>
    <mergeCell ref="J12:J13"/>
    <mergeCell ref="K12:K13"/>
    <mergeCell ref="Y12:Y13"/>
    <mergeCell ref="Z12:Z13"/>
    <mergeCell ref="M12:M13"/>
    <mergeCell ref="N12:N13"/>
    <mergeCell ref="O12:Q12"/>
    <mergeCell ref="R12:T12"/>
    <mergeCell ref="U12:W12"/>
    <mergeCell ref="X12:X13"/>
  </mergeCells>
  <dataValidations count="3">
    <dataValidation type="list" errorStyle="warning" allowBlank="1" showInputMessage="1" showErrorMessage="1" sqref="C15" xr:uid="{6BCC476C-A0CA-43E9-97D3-3659365C41C5}">
      <formula1>hier_PU_35</formula1>
    </dataValidation>
    <dataValidation type="list" errorStyle="warning" allowBlank="1" showInputMessage="1" showErrorMessage="1" sqref="R15" xr:uid="{BAA21989-9EAC-4016-8CF5-D77FCE2CCEB8}">
      <formula1>hier_AP_13</formula1>
    </dataValidation>
    <dataValidation type="date" operator="greaterThan" allowBlank="1" showInputMessage="1" showErrorMessage="1" errorTitle="Date value" error="This cell can only contain dates" sqref="S15:U15" xr:uid="{13793607-0750-4550-9FF4-31C3B0D6D3B0}">
      <formula1>1</formula1>
    </dataValidation>
  </dataValidations>
  <pageMargins left="0.7" right="0.7" top="0.75" bottom="0.75" header="0.3" footer="0.3"/>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3C8ED-2BF8-4C36-AC75-2A5A95192E34}">
  <sheetPr codeName="Blad181"/>
  <dimension ref="B2:Q15"/>
  <sheetViews>
    <sheetView showGridLines="0" workbookViewId="0"/>
  </sheetViews>
  <sheetFormatPr defaultRowHeight="15"/>
  <cols>
    <col min="2" max="2" width="51.140625" bestFit="1" customWidth="1"/>
    <col min="3" max="5" width="40.7109375" customWidth="1"/>
    <col min="6" max="8" width="15.7109375" customWidth="1"/>
  </cols>
  <sheetData>
    <row r="2" spans="2:17" ht="23.25">
      <c r="B2" s="86" t="s">
        <v>779</v>
      </c>
      <c r="C2" s="87"/>
      <c r="D2" s="87"/>
      <c r="E2" s="87"/>
      <c r="F2" s="87"/>
      <c r="G2" s="87"/>
      <c r="H2" s="87"/>
      <c r="I2" s="87"/>
      <c r="J2" s="87"/>
      <c r="K2" s="87"/>
      <c r="L2" s="87"/>
      <c r="M2" s="87"/>
      <c r="N2" s="87"/>
      <c r="O2" s="87"/>
    </row>
    <row r="5" spans="2:17" ht="18.75">
      <c r="B5" s="88" t="s">
        <v>5903</v>
      </c>
      <c r="C5" s="87"/>
      <c r="D5" s="87"/>
      <c r="E5" s="87"/>
      <c r="F5" s="87"/>
      <c r="G5" s="87"/>
      <c r="H5" s="87"/>
      <c r="I5" s="87"/>
      <c r="J5" s="87"/>
      <c r="K5" s="87"/>
      <c r="L5" s="87"/>
    </row>
    <row r="9" spans="2:17">
      <c r="B9" s="89" t="s">
        <v>3245</v>
      </c>
      <c r="C9" s="92" t="s">
        <v>2877</v>
      </c>
      <c r="D9" s="93"/>
      <c r="E9" s="93"/>
      <c r="F9" s="93"/>
      <c r="G9" s="93"/>
      <c r="H9" s="94"/>
    </row>
    <row r="10" spans="2:17">
      <c r="B10" s="90"/>
      <c r="C10" s="95"/>
      <c r="D10" s="96"/>
      <c r="E10" s="96"/>
      <c r="F10" s="96"/>
      <c r="G10" s="96"/>
      <c r="H10" s="97"/>
    </row>
    <row r="11" spans="2:17" ht="75">
      <c r="B11" s="91"/>
      <c r="C11" s="55" t="s">
        <v>3246</v>
      </c>
      <c r="D11" s="55" t="s">
        <v>5904</v>
      </c>
      <c r="E11" s="55" t="s">
        <v>5905</v>
      </c>
      <c r="F11" s="55" t="s">
        <v>5906</v>
      </c>
      <c r="G11" s="55" t="s">
        <v>5907</v>
      </c>
      <c r="H11" s="55" t="s">
        <v>5908</v>
      </c>
    </row>
    <row r="12" spans="2:17">
      <c r="B12" s="42" t="s">
        <v>3219</v>
      </c>
      <c r="C12" s="42" t="s">
        <v>2879</v>
      </c>
      <c r="D12" s="42" t="s">
        <v>3223</v>
      </c>
      <c r="E12" s="42" t="s">
        <v>3229</v>
      </c>
      <c r="F12" s="42" t="s">
        <v>3231</v>
      </c>
      <c r="G12" s="42" t="s">
        <v>3233</v>
      </c>
      <c r="H12" s="42" t="s">
        <v>3234</v>
      </c>
      <c r="P12" s="13" t="str">
        <f>Show!$B$177&amp;"S.34.01.04.01 Rows {"&amp;COLUMN($B$1)&amp;"}"&amp;"@ForceFilingCode:true"</f>
        <v>!S.34.01.04.01 Rows {2}@ForceFilingCode:true</v>
      </c>
      <c r="Q12" s="13" t="str">
        <f>Show!$B$177&amp;"S.34.01.04.01 Columns {"&amp;COLUMN($B$1)&amp;"}"</f>
        <v>!S.34.01.04.01 Columns {2}</v>
      </c>
    </row>
    <row r="13" spans="2:17">
      <c r="B13" s="50"/>
      <c r="C13" s="51"/>
      <c r="D13" s="51"/>
      <c r="E13" s="51"/>
      <c r="F13" s="60"/>
      <c r="G13" s="60"/>
      <c r="H13" s="60"/>
    </row>
    <row r="15" spans="2:17">
      <c r="P15" s="13" t="str">
        <f>Show!$B$177&amp;Show!$B$177&amp;"S.34.01.04.01 Rows {"&amp;COLUMN($B$1)&amp;"}"</f>
        <v>!!S.34.01.04.01 Rows {2}</v>
      </c>
      <c r="Q15" s="13" t="str">
        <f>Show!$B$177&amp;Show!$B$177&amp;"S.34.01.04.01 Columns {"&amp;COLUMN($H$1)&amp;"}"</f>
        <v>!!S.34.01.04.01 Columns {8}</v>
      </c>
    </row>
  </sheetData>
  <sheetProtection sheet="1" objects="1" scenarios="1"/>
  <mergeCells count="4">
    <mergeCell ref="B2:O2"/>
    <mergeCell ref="B5:L5"/>
    <mergeCell ref="B9:B11"/>
    <mergeCell ref="C9:H10"/>
  </mergeCells>
  <dataValidations count="2">
    <dataValidation type="list" errorStyle="warning" allowBlank="1" showInputMessage="1" showErrorMessage="1" sqref="D13" xr:uid="{9BDE4383-8CDA-4D46-ACBD-1B689E03DDF7}">
      <formula1>hier_CS_4</formula1>
    </dataValidation>
    <dataValidation type="list" errorStyle="warning" allowBlank="1" showInputMessage="1" showErrorMessage="1" sqref="E13" xr:uid="{E3520C00-23DA-4F4E-82C5-363E79D724BE}">
      <formula1>hier_AM_6</formula1>
    </dataValidation>
  </dataValidations>
  <pageMargins left="0.7" right="0.7" top="0.75" bottom="0.75" header="0.3" footer="0.3"/>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9FFBA-2FAB-4F99-920A-10A6F5ACB267}">
  <sheetPr codeName="Blad182"/>
  <dimension ref="B2:AR16"/>
  <sheetViews>
    <sheetView showGridLines="0" workbookViewId="0"/>
  </sheetViews>
  <sheetFormatPr defaultRowHeight="15"/>
  <cols>
    <col min="2" max="2" width="51.140625" bestFit="1" customWidth="1"/>
    <col min="3" max="3" width="40.7109375" customWidth="1"/>
    <col min="4" max="25" width="15.7109375" customWidth="1"/>
  </cols>
  <sheetData>
    <row r="2" spans="2:44" ht="23.25">
      <c r="B2" s="86" t="s">
        <v>781</v>
      </c>
      <c r="C2" s="87"/>
      <c r="D2" s="87"/>
      <c r="E2" s="87"/>
      <c r="F2" s="87"/>
      <c r="G2" s="87"/>
      <c r="H2" s="87"/>
      <c r="I2" s="87"/>
      <c r="J2" s="87"/>
      <c r="K2" s="87"/>
      <c r="L2" s="87"/>
      <c r="M2" s="87"/>
      <c r="N2" s="87"/>
      <c r="O2" s="87"/>
    </row>
    <row r="5" spans="2:44" ht="18.75">
      <c r="B5" s="88" t="s">
        <v>5909</v>
      </c>
      <c r="C5" s="87"/>
      <c r="D5" s="87"/>
      <c r="E5" s="87"/>
      <c r="F5" s="87"/>
      <c r="G5" s="87"/>
      <c r="H5" s="87"/>
      <c r="I5" s="87"/>
      <c r="J5" s="87"/>
      <c r="K5" s="87"/>
      <c r="L5" s="87"/>
    </row>
    <row r="9" spans="2:44">
      <c r="B9" s="89" t="s">
        <v>3245</v>
      </c>
      <c r="C9" s="92" t="s">
        <v>2877</v>
      </c>
      <c r="D9" s="93"/>
      <c r="E9" s="93"/>
      <c r="F9" s="93"/>
      <c r="G9" s="93"/>
      <c r="H9" s="93"/>
      <c r="I9" s="93"/>
      <c r="J9" s="93"/>
      <c r="K9" s="93"/>
      <c r="L9" s="93"/>
      <c r="M9" s="93"/>
      <c r="N9" s="93"/>
      <c r="O9" s="93"/>
      <c r="P9" s="93"/>
      <c r="Q9" s="93"/>
      <c r="R9" s="93"/>
      <c r="S9" s="93"/>
      <c r="T9" s="93"/>
      <c r="U9" s="93"/>
      <c r="V9" s="93"/>
      <c r="W9" s="93"/>
      <c r="X9" s="93"/>
      <c r="Y9" s="94"/>
    </row>
    <row r="10" spans="2:44">
      <c r="B10" s="90"/>
      <c r="C10" s="95"/>
      <c r="D10" s="96"/>
      <c r="E10" s="96"/>
      <c r="F10" s="96"/>
      <c r="G10" s="96"/>
      <c r="H10" s="96"/>
      <c r="I10" s="96"/>
      <c r="J10" s="96"/>
      <c r="K10" s="96"/>
      <c r="L10" s="96"/>
      <c r="M10" s="96"/>
      <c r="N10" s="96"/>
      <c r="O10" s="96"/>
      <c r="P10" s="96"/>
      <c r="Q10" s="96"/>
      <c r="R10" s="96"/>
      <c r="S10" s="96"/>
      <c r="T10" s="96"/>
      <c r="U10" s="96"/>
      <c r="V10" s="96"/>
      <c r="W10" s="96"/>
      <c r="X10" s="96"/>
      <c r="Y10" s="97"/>
    </row>
    <row r="11" spans="2:44" ht="120">
      <c r="B11" s="90"/>
      <c r="C11" s="89" t="s">
        <v>5910</v>
      </c>
      <c r="D11" s="98" t="s">
        <v>5911</v>
      </c>
      <c r="E11" s="99"/>
      <c r="F11" s="98" t="s">
        <v>5914</v>
      </c>
      <c r="G11" s="100"/>
      <c r="H11" s="99"/>
      <c r="I11" s="98" t="s">
        <v>5916</v>
      </c>
      <c r="J11" s="100"/>
      <c r="K11" s="99"/>
      <c r="L11" s="98" t="s">
        <v>5917</v>
      </c>
      <c r="M11" s="100"/>
      <c r="N11" s="99"/>
      <c r="O11" s="98" t="s">
        <v>5918</v>
      </c>
      <c r="P11" s="100"/>
      <c r="Q11" s="99"/>
      <c r="R11" s="98" t="s">
        <v>5919</v>
      </c>
      <c r="S11" s="100"/>
      <c r="T11" s="99"/>
      <c r="U11" s="98" t="s">
        <v>5920</v>
      </c>
      <c r="V11" s="99"/>
      <c r="W11" s="55" t="s">
        <v>5921</v>
      </c>
      <c r="X11" s="55" t="s">
        <v>5922</v>
      </c>
      <c r="Y11" s="55" t="s">
        <v>5923</v>
      </c>
    </row>
    <row r="12" spans="2:44" ht="45">
      <c r="B12" s="91"/>
      <c r="C12" s="91"/>
      <c r="D12" s="55" t="s">
        <v>5912</v>
      </c>
      <c r="E12" s="55" t="s">
        <v>5913</v>
      </c>
      <c r="F12" s="55" t="s">
        <v>5912</v>
      </c>
      <c r="G12" s="55" t="s">
        <v>5913</v>
      </c>
      <c r="H12" s="55" t="s">
        <v>5915</v>
      </c>
      <c r="I12" s="55" t="s">
        <v>5912</v>
      </c>
      <c r="J12" s="55" t="s">
        <v>5913</v>
      </c>
      <c r="K12" s="55" t="s">
        <v>5915</v>
      </c>
      <c r="L12" s="55" t="s">
        <v>5912</v>
      </c>
      <c r="M12" s="55" t="s">
        <v>5913</v>
      </c>
      <c r="N12" s="55" t="s">
        <v>5915</v>
      </c>
      <c r="O12" s="55" t="s">
        <v>5912</v>
      </c>
      <c r="P12" s="55" t="s">
        <v>5913</v>
      </c>
      <c r="Q12" s="55" t="s">
        <v>5915</v>
      </c>
      <c r="R12" s="55" t="s">
        <v>5912</v>
      </c>
      <c r="S12" s="55" t="s">
        <v>5913</v>
      </c>
      <c r="T12" s="55" t="s">
        <v>5915</v>
      </c>
      <c r="U12" s="55" t="s">
        <v>5912</v>
      </c>
      <c r="V12" s="55" t="s">
        <v>5913</v>
      </c>
      <c r="W12" s="55" t="s">
        <v>5912</v>
      </c>
      <c r="X12" s="55" t="s">
        <v>5912</v>
      </c>
      <c r="Y12" s="55" t="s">
        <v>5912</v>
      </c>
    </row>
    <row r="13" spans="2:44">
      <c r="B13" s="42" t="s">
        <v>3219</v>
      </c>
      <c r="C13" s="42" t="s">
        <v>3223</v>
      </c>
      <c r="D13" s="42" t="s">
        <v>3229</v>
      </c>
      <c r="E13" s="42" t="s">
        <v>3231</v>
      </c>
      <c r="F13" s="42" t="s">
        <v>3233</v>
      </c>
      <c r="G13" s="42" t="s">
        <v>3234</v>
      </c>
      <c r="H13" s="42" t="s">
        <v>3236</v>
      </c>
      <c r="I13" s="42" t="s">
        <v>3239</v>
      </c>
      <c r="J13" s="42" t="s">
        <v>3241</v>
      </c>
      <c r="K13" s="42" t="s">
        <v>3243</v>
      </c>
      <c r="L13" s="42" t="s">
        <v>3375</v>
      </c>
      <c r="M13" s="42" t="s">
        <v>3475</v>
      </c>
      <c r="N13" s="42" t="s">
        <v>3477</v>
      </c>
      <c r="O13" s="42" t="s">
        <v>3479</v>
      </c>
      <c r="P13" s="42" t="s">
        <v>3594</v>
      </c>
      <c r="Q13" s="42" t="s">
        <v>3596</v>
      </c>
      <c r="R13" s="42" t="s">
        <v>3599</v>
      </c>
      <c r="S13" s="42" t="s">
        <v>3481</v>
      </c>
      <c r="T13" s="42" t="s">
        <v>3508</v>
      </c>
      <c r="U13" s="42" t="s">
        <v>3509</v>
      </c>
      <c r="V13" s="42" t="s">
        <v>3511</v>
      </c>
      <c r="W13" s="42" t="s">
        <v>3513</v>
      </c>
      <c r="X13" s="42" t="s">
        <v>3514</v>
      </c>
      <c r="Y13" s="42" t="s">
        <v>3515</v>
      </c>
      <c r="AQ13" s="13" t="str">
        <f>Show!$B$178&amp;"S.35.01.04.01 Rows {"&amp;COLUMN($B$1)&amp;"}"&amp;"@ForceFilingCode:true"</f>
        <v>!S.35.01.04.01 Rows {2}@ForceFilingCode:true</v>
      </c>
      <c r="AR13" s="13" t="str">
        <f>Show!$B$178&amp;"S.35.01.04.01 Columns {"&amp;COLUMN($B$1)&amp;"}"</f>
        <v>!S.35.01.04.01 Columns {2}</v>
      </c>
    </row>
    <row r="14" spans="2:44">
      <c r="B14" s="50"/>
      <c r="C14" s="51"/>
      <c r="D14" s="60"/>
      <c r="E14" s="60"/>
      <c r="F14" s="60"/>
      <c r="G14" s="60"/>
      <c r="H14" s="70"/>
      <c r="I14" s="60"/>
      <c r="J14" s="60"/>
      <c r="K14" s="70"/>
      <c r="L14" s="60"/>
      <c r="M14" s="60"/>
      <c r="N14" s="70"/>
      <c r="O14" s="60"/>
      <c r="P14" s="60"/>
      <c r="Q14" s="70"/>
      <c r="R14" s="60"/>
      <c r="S14" s="60"/>
      <c r="T14" s="70"/>
      <c r="U14" s="60"/>
      <c r="V14" s="60"/>
      <c r="W14" s="60"/>
      <c r="X14" s="60"/>
      <c r="Y14" s="60"/>
    </row>
    <row r="16" spans="2:44">
      <c r="AQ16" s="13" t="str">
        <f>Show!$B$178&amp;Show!$B$178&amp;"S.35.01.04.01 Rows {"&amp;COLUMN($B$1)&amp;"}"</f>
        <v>!!S.35.01.04.01 Rows {2}</v>
      </c>
      <c r="AR16" s="13" t="str">
        <f>Show!$B$178&amp;Show!$B$178&amp;"S.35.01.04.01 Columns {"&amp;COLUMN($Y$1)&amp;"}"</f>
        <v>!!S.35.01.04.01 Columns {25}</v>
      </c>
    </row>
  </sheetData>
  <sheetProtection sheet="1" objects="1" scenarios="1"/>
  <mergeCells count="12">
    <mergeCell ref="R11:T11"/>
    <mergeCell ref="U11:V11"/>
    <mergeCell ref="B2:O2"/>
    <mergeCell ref="B5:L5"/>
    <mergeCell ref="B9:B12"/>
    <mergeCell ref="C9:Y10"/>
    <mergeCell ref="C11:C12"/>
    <mergeCell ref="D11:E11"/>
    <mergeCell ref="F11:H11"/>
    <mergeCell ref="I11:K11"/>
    <mergeCell ref="L11:N11"/>
    <mergeCell ref="O11:Q11"/>
  </mergeCells>
  <dataValidations count="1">
    <dataValidation type="list" errorStyle="warning" allowBlank="1" showInputMessage="1" showErrorMessage="1" sqref="C14" xr:uid="{0B4578C9-4364-4281-B796-3CEB3E87776A}">
      <formula1>hier_CS_10</formula1>
    </dataValidation>
  </dataValidations>
  <pageMargins left="0.7" right="0.7" top="0.75" bottom="0.75" header="0.3" footer="0.3"/>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28B82-DCFF-48B5-89C6-B9B3095040D2}">
  <sheetPr codeName="Blad183"/>
  <dimension ref="B2:AE15"/>
  <sheetViews>
    <sheetView showGridLines="0" workbookViewId="0"/>
  </sheetViews>
  <sheetFormatPr defaultRowHeight="15"/>
  <cols>
    <col min="2" max="2" width="17.42578125" bestFit="1" customWidth="1"/>
    <col min="3" max="6" width="15.7109375" customWidth="1"/>
    <col min="7" max="9" width="40.7109375" customWidth="1"/>
    <col min="10" max="11" width="15.7109375" customWidth="1"/>
    <col min="12" max="12" width="40.7109375" customWidth="1"/>
    <col min="13" max="17" width="15.7109375" customWidth="1"/>
    <col min="18" max="18" width="40.7109375" customWidth="1"/>
  </cols>
  <sheetData>
    <row r="2" spans="2:31" ht="23.25">
      <c r="B2" s="86" t="s">
        <v>783</v>
      </c>
      <c r="C2" s="87"/>
      <c r="D2" s="87"/>
      <c r="E2" s="87"/>
      <c r="F2" s="87"/>
      <c r="G2" s="87"/>
      <c r="H2" s="87"/>
      <c r="I2" s="87"/>
      <c r="J2" s="87"/>
      <c r="K2" s="87"/>
      <c r="L2" s="87"/>
      <c r="M2" s="87"/>
      <c r="N2" s="87"/>
      <c r="O2" s="87"/>
    </row>
    <row r="5" spans="2:31" ht="18.75">
      <c r="B5" s="88" t="s">
        <v>5924</v>
      </c>
      <c r="C5" s="87"/>
      <c r="D5" s="87"/>
      <c r="E5" s="87"/>
      <c r="F5" s="87"/>
      <c r="G5" s="87"/>
      <c r="H5" s="87"/>
      <c r="I5" s="87"/>
      <c r="J5" s="87"/>
      <c r="K5" s="87"/>
      <c r="L5" s="87"/>
    </row>
    <row r="9" spans="2:31">
      <c r="B9" s="89" t="s">
        <v>3374</v>
      </c>
      <c r="C9" s="89" t="s">
        <v>5925</v>
      </c>
      <c r="D9" s="89" t="s">
        <v>5926</v>
      </c>
      <c r="E9" s="89" t="s">
        <v>5927</v>
      </c>
      <c r="F9" s="89" t="s">
        <v>5928</v>
      </c>
      <c r="G9" s="92" t="s">
        <v>2877</v>
      </c>
      <c r="H9" s="93"/>
      <c r="I9" s="93"/>
      <c r="J9" s="93"/>
      <c r="K9" s="93"/>
      <c r="L9" s="93"/>
      <c r="M9" s="93"/>
      <c r="N9" s="93"/>
      <c r="O9" s="93"/>
      <c r="P9" s="93"/>
      <c r="Q9" s="93"/>
      <c r="R9" s="94"/>
    </row>
    <row r="10" spans="2:31">
      <c r="B10" s="90"/>
      <c r="C10" s="90"/>
      <c r="D10" s="90"/>
      <c r="E10" s="90"/>
      <c r="F10" s="90"/>
      <c r="G10" s="95"/>
      <c r="H10" s="96"/>
      <c r="I10" s="96"/>
      <c r="J10" s="96"/>
      <c r="K10" s="96"/>
      <c r="L10" s="96"/>
      <c r="M10" s="96"/>
      <c r="N10" s="96"/>
      <c r="O10" s="96"/>
      <c r="P10" s="96"/>
      <c r="Q10" s="96"/>
      <c r="R10" s="97"/>
    </row>
    <row r="11" spans="2:31" ht="105">
      <c r="B11" s="91"/>
      <c r="C11" s="91"/>
      <c r="D11" s="91"/>
      <c r="E11" s="91"/>
      <c r="F11" s="91"/>
      <c r="G11" s="55" t="s">
        <v>5929</v>
      </c>
      <c r="H11" s="55" t="s">
        <v>5930</v>
      </c>
      <c r="I11" s="55" t="s">
        <v>5931</v>
      </c>
      <c r="J11" s="55" t="s">
        <v>5932</v>
      </c>
      <c r="K11" s="55" t="s">
        <v>5933</v>
      </c>
      <c r="L11" s="55" t="s">
        <v>5934</v>
      </c>
      <c r="M11" s="55" t="s">
        <v>5935</v>
      </c>
      <c r="N11" s="55" t="s">
        <v>5936</v>
      </c>
      <c r="O11" s="55" t="s">
        <v>5937</v>
      </c>
      <c r="P11" s="55" t="s">
        <v>5938</v>
      </c>
      <c r="Q11" s="55" t="s">
        <v>5939</v>
      </c>
      <c r="R11" s="55" t="s">
        <v>5940</v>
      </c>
    </row>
    <row r="12" spans="2:31">
      <c r="B12" s="42" t="s">
        <v>3581</v>
      </c>
      <c r="C12" s="42" t="s">
        <v>2879</v>
      </c>
      <c r="D12" s="42" t="s">
        <v>3234</v>
      </c>
      <c r="E12" s="42" t="s">
        <v>3225</v>
      </c>
      <c r="F12" s="42" t="s">
        <v>3231</v>
      </c>
      <c r="G12" s="42" t="s">
        <v>3219</v>
      </c>
      <c r="H12" s="42" t="s">
        <v>3229</v>
      </c>
      <c r="I12" s="42" t="s">
        <v>3239</v>
      </c>
      <c r="J12" s="42" t="s">
        <v>3241</v>
      </c>
      <c r="K12" s="42" t="s">
        <v>3243</v>
      </c>
      <c r="L12" s="42" t="s">
        <v>3375</v>
      </c>
      <c r="M12" s="42" t="s">
        <v>3475</v>
      </c>
      <c r="N12" s="42" t="s">
        <v>3477</v>
      </c>
      <c r="O12" s="42" t="s">
        <v>3479</v>
      </c>
      <c r="P12" s="42" t="s">
        <v>3594</v>
      </c>
      <c r="Q12" s="42" t="s">
        <v>3596</v>
      </c>
      <c r="R12" s="42" t="s">
        <v>3599</v>
      </c>
      <c r="AD12" s="13" t="str">
        <f>Show!$B$179&amp;"S.36.01.01.01 Rows {"&amp;COLUMN($B$1)&amp;"}"&amp;"@ForceFilingCode:true"</f>
        <v>!S.36.01.01.01 Rows {2}@ForceFilingCode:true</v>
      </c>
      <c r="AE12" s="13" t="str">
        <f>Show!$B$179&amp;"S.36.01.01.01 Columns {"&amp;COLUMN($B$1)&amp;"}"</f>
        <v>!S.36.01.01.01 Columns {2}</v>
      </c>
    </row>
    <row r="13" spans="2:31">
      <c r="B13" s="50"/>
      <c r="C13" s="50"/>
      <c r="D13" s="50"/>
      <c r="E13" s="50"/>
      <c r="F13" s="50"/>
      <c r="G13" s="51"/>
      <c r="H13" s="51"/>
      <c r="I13" s="51"/>
      <c r="J13" s="54"/>
      <c r="K13" s="54"/>
      <c r="L13" s="51"/>
      <c r="M13" s="60"/>
      <c r="N13" s="60"/>
      <c r="O13" s="60"/>
      <c r="P13" s="60"/>
      <c r="Q13" s="60"/>
      <c r="R13" s="51"/>
    </row>
    <row r="15" spans="2:31">
      <c r="AD15" s="13" t="str">
        <f>Show!$B$179&amp;Show!$B$179&amp;"S.36.01.01.01 Rows {"&amp;COLUMN($B$1)&amp;"}"</f>
        <v>!!S.36.01.01.01 Rows {2}</v>
      </c>
      <c r="AE15" s="13" t="str">
        <f>Show!$B$179&amp;Show!$B$179&amp;"S.36.01.01.01 Columns {"&amp;COLUMN($R$1)&amp;"}"</f>
        <v>!!S.36.01.01.01 Columns {18}</v>
      </c>
    </row>
  </sheetData>
  <sheetProtection sheet="1" objects="1" scenarios="1"/>
  <mergeCells count="8">
    <mergeCell ref="B2:O2"/>
    <mergeCell ref="B5:L5"/>
    <mergeCell ref="B9:B11"/>
    <mergeCell ref="C9:C11"/>
    <mergeCell ref="D9:D11"/>
    <mergeCell ref="E9:E11"/>
    <mergeCell ref="F9:F11"/>
    <mergeCell ref="G9:R10"/>
  </mergeCells>
  <dataValidations count="3">
    <dataValidation type="list" errorStyle="warning" allowBlank="1" showInputMessage="1" showErrorMessage="1" sqref="I13" xr:uid="{76549195-1FAC-4105-823F-CFA31C1B1F59}">
      <formula1>hier_MC_35</formula1>
    </dataValidation>
    <dataValidation type="date" operator="greaterThan" allowBlank="1" showInputMessage="1" showErrorMessage="1" errorTitle="Date value" error="This cell can only contain dates" sqref="J13:K13" xr:uid="{371CD95A-530E-4BA7-9072-929C3947F353}">
      <formula1>1</formula1>
    </dataValidation>
    <dataValidation type="list" errorStyle="warning" allowBlank="1" showInputMessage="1" showErrorMessage="1" sqref="L13" xr:uid="{79E63E38-0B10-4E34-8321-04441CDE7F53}">
      <formula1>hier_CU_1</formula1>
    </dataValidation>
  </dataValidations>
  <pageMargins left="0.7" right="0.7" top="0.75" bottom="0.75" header="0.3" footer="0.3"/>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9B73F-5FF1-4630-B2E8-4C9302EF44AB}">
  <sheetPr codeName="Blad184"/>
  <dimension ref="B2:AL16"/>
  <sheetViews>
    <sheetView showGridLines="0" workbookViewId="0"/>
  </sheetViews>
  <sheetFormatPr defaultRowHeight="15"/>
  <cols>
    <col min="2" max="2" width="17.42578125" bestFit="1" customWidth="1"/>
    <col min="3" max="6" width="15.7109375" customWidth="1"/>
    <col min="7" max="9" width="40.7109375" customWidth="1"/>
    <col min="10" max="11" width="15.7109375" customWidth="1"/>
    <col min="12" max="12" width="40.7109375" customWidth="1"/>
    <col min="13" max="15" width="15.7109375" customWidth="1"/>
    <col min="16" max="22" width="40.7109375" customWidth="1"/>
  </cols>
  <sheetData>
    <row r="2" spans="2:38" ht="23.25">
      <c r="B2" s="86" t="s">
        <v>785</v>
      </c>
      <c r="C2" s="87"/>
      <c r="D2" s="87"/>
      <c r="E2" s="87"/>
      <c r="F2" s="87"/>
      <c r="G2" s="87"/>
      <c r="H2" s="87"/>
      <c r="I2" s="87"/>
      <c r="J2" s="87"/>
      <c r="K2" s="87"/>
      <c r="L2" s="87"/>
      <c r="M2" s="87"/>
      <c r="N2" s="87"/>
      <c r="O2" s="87"/>
    </row>
    <row r="5" spans="2:38" ht="18.75">
      <c r="B5" s="88" t="s">
        <v>5941</v>
      </c>
      <c r="C5" s="87"/>
      <c r="D5" s="87"/>
      <c r="E5" s="87"/>
      <c r="F5" s="87"/>
      <c r="G5" s="87"/>
      <c r="H5" s="87"/>
      <c r="I5" s="87"/>
      <c r="J5" s="87"/>
      <c r="K5" s="87"/>
      <c r="L5" s="87"/>
    </row>
    <row r="9" spans="2:38">
      <c r="B9" s="89" t="s">
        <v>3374</v>
      </c>
      <c r="C9" s="89" t="s">
        <v>5925</v>
      </c>
      <c r="D9" s="89" t="s">
        <v>5926</v>
      </c>
      <c r="E9" s="89" t="s">
        <v>5942</v>
      </c>
      <c r="F9" s="89" t="s">
        <v>5943</v>
      </c>
      <c r="G9" s="92" t="s">
        <v>2877</v>
      </c>
      <c r="H9" s="93"/>
      <c r="I9" s="93"/>
      <c r="J9" s="93"/>
      <c r="K9" s="93"/>
      <c r="L9" s="93"/>
      <c r="M9" s="93"/>
      <c r="N9" s="93"/>
      <c r="O9" s="93"/>
      <c r="P9" s="93"/>
      <c r="Q9" s="93"/>
      <c r="R9" s="93"/>
      <c r="S9" s="93"/>
      <c r="T9" s="93"/>
      <c r="U9" s="93"/>
      <c r="V9" s="94"/>
    </row>
    <row r="10" spans="2:38">
      <c r="B10" s="90"/>
      <c r="C10" s="90"/>
      <c r="D10" s="90"/>
      <c r="E10" s="90"/>
      <c r="F10" s="90"/>
      <c r="G10" s="95"/>
      <c r="H10" s="96"/>
      <c r="I10" s="96"/>
      <c r="J10" s="96"/>
      <c r="K10" s="96"/>
      <c r="L10" s="96"/>
      <c r="M10" s="96"/>
      <c r="N10" s="96"/>
      <c r="O10" s="96"/>
      <c r="P10" s="96"/>
      <c r="Q10" s="96"/>
      <c r="R10" s="96"/>
      <c r="S10" s="96"/>
      <c r="T10" s="96"/>
      <c r="U10" s="96"/>
      <c r="V10" s="97"/>
    </row>
    <row r="11" spans="2:38">
      <c r="B11" s="90"/>
      <c r="C11" s="90"/>
      <c r="D11" s="90"/>
      <c r="E11" s="90"/>
      <c r="F11" s="90"/>
      <c r="G11" s="89" t="s">
        <v>5944</v>
      </c>
      <c r="H11" s="89" t="s">
        <v>5945</v>
      </c>
      <c r="I11" s="89" t="s">
        <v>5931</v>
      </c>
      <c r="J11" s="89" t="s">
        <v>5946</v>
      </c>
      <c r="K11" s="89" t="s">
        <v>3627</v>
      </c>
      <c r="L11" s="89" t="s">
        <v>3606</v>
      </c>
      <c r="M11" s="89" t="s">
        <v>5947</v>
      </c>
      <c r="N11" s="89" t="s">
        <v>5948</v>
      </c>
      <c r="O11" s="89" t="s">
        <v>5949</v>
      </c>
      <c r="P11" s="98" t="s">
        <v>5950</v>
      </c>
      <c r="Q11" s="99"/>
      <c r="R11" s="55" t="s">
        <v>5953</v>
      </c>
      <c r="S11" s="98" t="s">
        <v>2386</v>
      </c>
      <c r="T11" s="100"/>
      <c r="U11" s="100"/>
      <c r="V11" s="99"/>
    </row>
    <row r="12" spans="2:38" ht="30">
      <c r="B12" s="91"/>
      <c r="C12" s="91"/>
      <c r="D12" s="91"/>
      <c r="E12" s="91"/>
      <c r="F12" s="91"/>
      <c r="G12" s="91"/>
      <c r="H12" s="91"/>
      <c r="I12" s="91"/>
      <c r="J12" s="91"/>
      <c r="K12" s="91"/>
      <c r="L12" s="91"/>
      <c r="M12" s="91"/>
      <c r="N12" s="91"/>
      <c r="O12" s="91"/>
      <c r="P12" s="55" t="s">
        <v>5951</v>
      </c>
      <c r="Q12" s="55" t="s">
        <v>5952</v>
      </c>
      <c r="R12" s="55" t="s">
        <v>5954</v>
      </c>
      <c r="S12" s="55" t="s">
        <v>5955</v>
      </c>
      <c r="T12" s="55" t="s">
        <v>5956</v>
      </c>
      <c r="U12" s="55" t="s">
        <v>5957</v>
      </c>
      <c r="V12" s="55" t="s">
        <v>5958</v>
      </c>
    </row>
    <row r="13" spans="2:38">
      <c r="B13" s="42" t="s">
        <v>3581</v>
      </c>
      <c r="C13" s="42" t="s">
        <v>2879</v>
      </c>
      <c r="D13" s="42" t="s">
        <v>3234</v>
      </c>
      <c r="E13" s="42" t="s">
        <v>3225</v>
      </c>
      <c r="F13" s="42" t="s">
        <v>3231</v>
      </c>
      <c r="G13" s="42" t="s">
        <v>3219</v>
      </c>
      <c r="H13" s="42" t="s">
        <v>3229</v>
      </c>
      <c r="I13" s="42" t="s">
        <v>3239</v>
      </c>
      <c r="J13" s="42" t="s">
        <v>3241</v>
      </c>
      <c r="K13" s="42" t="s">
        <v>3243</v>
      </c>
      <c r="L13" s="42" t="s">
        <v>3375</v>
      </c>
      <c r="M13" s="42" t="s">
        <v>3475</v>
      </c>
      <c r="N13" s="42" t="s">
        <v>3477</v>
      </c>
      <c r="O13" s="42" t="s">
        <v>3479</v>
      </c>
      <c r="P13" s="42" t="s">
        <v>3594</v>
      </c>
      <c r="Q13" s="42" t="s">
        <v>3596</v>
      </c>
      <c r="R13" s="42" t="s">
        <v>3481</v>
      </c>
      <c r="S13" s="42" t="s">
        <v>3508</v>
      </c>
      <c r="T13" s="42" t="s">
        <v>3509</v>
      </c>
      <c r="U13" s="42" t="s">
        <v>3511</v>
      </c>
      <c r="V13" s="42" t="s">
        <v>3513</v>
      </c>
      <c r="AK13" s="13" t="str">
        <f>Show!$B$180&amp;"S.36.02.01.01 Rows {"&amp;COLUMN($B$1)&amp;"}"&amp;"@ForceFilingCode:true"</f>
        <v>!S.36.02.01.01 Rows {2}@ForceFilingCode:true</v>
      </c>
      <c r="AL13" s="13" t="str">
        <f>Show!$B$180&amp;"S.36.02.01.01 Columns {"&amp;COLUMN($B$1)&amp;"}"</f>
        <v>!S.36.02.01.01 Columns {2}</v>
      </c>
    </row>
    <row r="14" spans="2:38">
      <c r="B14" s="50"/>
      <c r="C14" s="50"/>
      <c r="D14" s="50"/>
      <c r="E14" s="50"/>
      <c r="F14" s="50"/>
      <c r="G14" s="51"/>
      <c r="H14" s="51"/>
      <c r="I14" s="51"/>
      <c r="J14" s="54"/>
      <c r="K14" s="54"/>
      <c r="L14" s="51"/>
      <c r="M14" s="60"/>
      <c r="N14" s="60"/>
      <c r="O14" s="60"/>
      <c r="P14" s="51"/>
      <c r="Q14" s="51"/>
      <c r="R14" s="51"/>
      <c r="S14" s="51"/>
      <c r="T14" s="51"/>
      <c r="U14" s="51"/>
      <c r="V14" s="51"/>
    </row>
    <row r="16" spans="2:38">
      <c r="AK16" s="13" t="str">
        <f>Show!$B$180&amp;Show!$B$180&amp;"S.36.02.01.01 Rows {"&amp;COLUMN($B$1)&amp;"}"</f>
        <v>!!S.36.02.01.01 Rows {2}</v>
      </c>
      <c r="AL16" s="13" t="str">
        <f>Show!$B$180&amp;Show!$B$180&amp;"S.36.02.01.01 Columns {"&amp;COLUMN($V$1)&amp;"}"</f>
        <v>!!S.36.02.01.01 Columns {22}</v>
      </c>
    </row>
  </sheetData>
  <sheetProtection sheet="1" objects="1" scenarios="1"/>
  <mergeCells count="19">
    <mergeCell ref="I11:I12"/>
    <mergeCell ref="J11:J12"/>
    <mergeCell ref="K11:K12"/>
    <mergeCell ref="L11:L12"/>
    <mergeCell ref="M11:M12"/>
    <mergeCell ref="N11:N12"/>
    <mergeCell ref="B2:O2"/>
    <mergeCell ref="B5:L5"/>
    <mergeCell ref="B9:B12"/>
    <mergeCell ref="C9:C12"/>
    <mergeCell ref="D9:D12"/>
    <mergeCell ref="E9:E12"/>
    <mergeCell ref="F9:F12"/>
    <mergeCell ref="G9:V10"/>
    <mergeCell ref="G11:G12"/>
    <mergeCell ref="H11:H12"/>
    <mergeCell ref="O11:O12"/>
    <mergeCell ref="P11:Q11"/>
    <mergeCell ref="S11:V11"/>
  </mergeCells>
  <dataValidations count="5">
    <dataValidation type="list" errorStyle="warning" allowBlank="1" showInputMessage="1" showErrorMessage="1" sqref="I14" xr:uid="{8AC870B4-2262-45E6-8627-CCFB91DF3F7E}">
      <formula1>hier_MC_36</formula1>
    </dataValidation>
    <dataValidation type="date" operator="greaterThan" allowBlank="1" showInputMessage="1" showErrorMessage="1" errorTitle="Date value" error="This cell can only contain dates" sqref="J14:K14" xr:uid="{D8AE5EB9-F3A1-4316-9EC3-94165C3CE177}">
      <formula1>1</formula1>
    </dataValidation>
    <dataValidation type="list" errorStyle="warning" allowBlank="1" showInputMessage="1" showErrorMessage="1" sqref="L14" xr:uid="{1390C2C5-6C61-43CA-B7EE-460C5C1EF253}">
      <formula1>hier_CU_1</formula1>
    </dataValidation>
    <dataValidation type="list" errorStyle="warning" allowBlank="1" showInputMessage="1" showErrorMessage="1" sqref="P14" xr:uid="{022FF3E4-CCDD-4E4D-9E38-C4158E63CBFC}">
      <formula1>hier_PU_19</formula1>
    </dataValidation>
    <dataValidation type="list" errorStyle="warning" allowBlank="1" showInputMessage="1" showErrorMessage="1" sqref="U14 V14" xr:uid="{60DBD8CD-87F3-4440-9EC9-16F5F6F5FD7B}">
      <formula1>hier_CU_5</formula1>
    </dataValidation>
  </dataValidations>
  <pageMargins left="0.7" right="0.7" top="0.75" bottom="0.75" header="0.3" footer="0.3"/>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35887-027E-4919-B61E-07E4BBBA64A9}">
  <sheetPr codeName="Blad185"/>
  <dimension ref="B2:AD15"/>
  <sheetViews>
    <sheetView showGridLines="0" workbookViewId="0"/>
  </sheetViews>
  <sheetFormatPr defaultRowHeight="15"/>
  <cols>
    <col min="2" max="2" width="17.42578125" bestFit="1" customWidth="1"/>
    <col min="3" max="3" width="15.7109375" customWidth="1"/>
    <col min="4" max="4" width="40.7109375" customWidth="1"/>
    <col min="5" max="6" width="15.7109375" customWidth="1"/>
    <col min="7" max="8" width="40.7109375" customWidth="1"/>
    <col min="9" max="10" width="15.7109375" customWidth="1"/>
    <col min="11" max="12" width="40.7109375" customWidth="1"/>
    <col min="13" max="16" width="15.7109375" customWidth="1"/>
  </cols>
  <sheetData>
    <row r="2" spans="2:30" ht="23.25">
      <c r="B2" s="86" t="s">
        <v>787</v>
      </c>
      <c r="C2" s="87"/>
      <c r="D2" s="87"/>
      <c r="E2" s="87"/>
      <c r="F2" s="87"/>
      <c r="G2" s="87"/>
      <c r="H2" s="87"/>
      <c r="I2" s="87"/>
      <c r="J2" s="87"/>
      <c r="K2" s="87"/>
      <c r="L2" s="87"/>
      <c r="M2" s="87"/>
      <c r="N2" s="87"/>
      <c r="O2" s="87"/>
    </row>
    <row r="5" spans="2:30" ht="18.75">
      <c r="B5" s="88" t="s">
        <v>5959</v>
      </c>
      <c r="C5" s="87"/>
      <c r="D5" s="87"/>
      <c r="E5" s="87"/>
      <c r="F5" s="87"/>
      <c r="G5" s="87"/>
      <c r="H5" s="87"/>
      <c r="I5" s="87"/>
      <c r="J5" s="87"/>
      <c r="K5" s="87"/>
      <c r="L5" s="87"/>
    </row>
    <row r="9" spans="2:30">
      <c r="B9" s="89" t="s">
        <v>3374</v>
      </c>
      <c r="C9" s="89" t="s">
        <v>5925</v>
      </c>
      <c r="D9" s="89" t="s">
        <v>3427</v>
      </c>
      <c r="E9" s="89" t="s">
        <v>5960</v>
      </c>
      <c r="F9" s="89" t="s">
        <v>5961</v>
      </c>
      <c r="G9" s="92" t="s">
        <v>2877</v>
      </c>
      <c r="H9" s="93"/>
      <c r="I9" s="93"/>
      <c r="J9" s="93"/>
      <c r="K9" s="93"/>
      <c r="L9" s="93"/>
      <c r="M9" s="93"/>
      <c r="N9" s="93"/>
      <c r="O9" s="93"/>
      <c r="P9" s="94"/>
    </row>
    <row r="10" spans="2:30">
      <c r="B10" s="90"/>
      <c r="C10" s="90"/>
      <c r="D10" s="90"/>
      <c r="E10" s="90"/>
      <c r="F10" s="90"/>
      <c r="G10" s="95"/>
      <c r="H10" s="96"/>
      <c r="I10" s="96"/>
      <c r="J10" s="96"/>
      <c r="K10" s="96"/>
      <c r="L10" s="96"/>
      <c r="M10" s="96"/>
      <c r="N10" s="96"/>
      <c r="O10" s="96"/>
      <c r="P10" s="97"/>
    </row>
    <row r="11" spans="2:30" ht="60">
      <c r="B11" s="91"/>
      <c r="C11" s="91"/>
      <c r="D11" s="91"/>
      <c r="E11" s="91"/>
      <c r="F11" s="91"/>
      <c r="G11" s="55" t="s">
        <v>5962</v>
      </c>
      <c r="H11" s="55" t="s">
        <v>5963</v>
      </c>
      <c r="I11" s="55" t="s">
        <v>4223</v>
      </c>
      <c r="J11" s="55" t="s">
        <v>4224</v>
      </c>
      <c r="K11" s="55" t="s">
        <v>5964</v>
      </c>
      <c r="L11" s="55" t="s">
        <v>5965</v>
      </c>
      <c r="M11" s="55" t="s">
        <v>5966</v>
      </c>
      <c r="N11" s="55" t="s">
        <v>5967</v>
      </c>
      <c r="O11" s="55" t="s">
        <v>5968</v>
      </c>
      <c r="P11" s="55" t="s">
        <v>5969</v>
      </c>
    </row>
    <row r="12" spans="2:30">
      <c r="B12" s="42" t="s">
        <v>3581</v>
      </c>
      <c r="C12" s="42" t="s">
        <v>2879</v>
      </c>
      <c r="D12" s="42" t="s">
        <v>3479</v>
      </c>
      <c r="E12" s="42" t="s">
        <v>3225</v>
      </c>
      <c r="F12" s="42" t="s">
        <v>3231</v>
      </c>
      <c r="G12" s="42" t="s">
        <v>3219</v>
      </c>
      <c r="H12" s="42" t="s">
        <v>3229</v>
      </c>
      <c r="I12" s="42" t="s">
        <v>3234</v>
      </c>
      <c r="J12" s="42" t="s">
        <v>3236</v>
      </c>
      <c r="K12" s="42" t="s">
        <v>3239</v>
      </c>
      <c r="L12" s="42" t="s">
        <v>3241</v>
      </c>
      <c r="M12" s="42" t="s">
        <v>3243</v>
      </c>
      <c r="N12" s="42" t="s">
        <v>3375</v>
      </c>
      <c r="O12" s="42" t="s">
        <v>3475</v>
      </c>
      <c r="P12" s="42" t="s">
        <v>3477</v>
      </c>
      <c r="AC12" s="13" t="str">
        <f>Show!$B$181&amp;"S.36.03.01.01 Rows {"&amp;COLUMN($B$1)&amp;"}"&amp;"@ForceFilingCode:true"</f>
        <v>!S.36.03.01.01 Rows {2}@ForceFilingCode:true</v>
      </c>
      <c r="AD12" s="13" t="str">
        <f>Show!$B$181&amp;"S.36.03.01.01 Columns {"&amp;COLUMN($B$1)&amp;"}"</f>
        <v>!S.36.03.01.01 Columns {2}</v>
      </c>
    </row>
    <row r="13" spans="2:30">
      <c r="B13" s="50"/>
      <c r="C13" s="50"/>
      <c r="D13" s="51"/>
      <c r="E13" s="50"/>
      <c r="F13" s="50"/>
      <c r="G13" s="51"/>
      <c r="H13" s="51"/>
      <c r="I13" s="54"/>
      <c r="J13" s="54"/>
      <c r="K13" s="51"/>
      <c r="L13" s="51"/>
      <c r="M13" s="60"/>
      <c r="N13" s="60"/>
      <c r="O13" s="60"/>
      <c r="P13" s="60"/>
    </row>
    <row r="15" spans="2:30">
      <c r="AC15" s="13" t="str">
        <f>Show!$B$181&amp;Show!$B$181&amp;"S.36.03.01.01 Rows {"&amp;COLUMN($B$1)&amp;"}"</f>
        <v>!!S.36.03.01.01 Rows {2}</v>
      </c>
      <c r="AD15" s="13" t="str">
        <f>Show!$B$181&amp;Show!$B$181&amp;"S.36.03.01.01 Columns {"&amp;COLUMN($P$1)&amp;"}"</f>
        <v>!!S.36.03.01.01 Columns {16}</v>
      </c>
    </row>
  </sheetData>
  <sheetProtection sheet="1" objects="1" scenarios="1"/>
  <mergeCells count="8">
    <mergeCell ref="B2:O2"/>
    <mergeCell ref="B5:L5"/>
    <mergeCell ref="B9:B11"/>
    <mergeCell ref="C9:C11"/>
    <mergeCell ref="D9:D11"/>
    <mergeCell ref="E9:E11"/>
    <mergeCell ref="F9:F11"/>
    <mergeCell ref="G9:P10"/>
  </mergeCells>
  <dataValidations count="4">
    <dataValidation type="list" errorStyle="warning" allowBlank="1" showInputMessage="1" showErrorMessage="1" sqref="D13" xr:uid="{DB5791F8-D2B7-4A89-8394-C6DFB9A176CC}">
      <formula1>hier_LB_43</formula1>
    </dataValidation>
    <dataValidation type="date" operator="greaterThan" allowBlank="1" showInputMessage="1" showErrorMessage="1" errorTitle="Date value" error="This cell can only contain dates" sqref="I13:J13" xr:uid="{61F28066-A842-4642-8399-39149357B7E7}">
      <formula1>1</formula1>
    </dataValidation>
    <dataValidation type="list" errorStyle="warning" allowBlank="1" showInputMessage="1" showErrorMessage="1" sqref="K13" xr:uid="{A0C8F376-19AE-4304-B9A9-855A99390FB3}">
      <formula1>hier_CU_1</formula1>
    </dataValidation>
    <dataValidation type="list" errorStyle="warning" allowBlank="1" showInputMessage="1" showErrorMessage="1" sqref="L13" xr:uid="{08FDD934-8F43-447B-A00A-28B99C442A4C}">
      <formula1>hier_TB_14</formula1>
    </dataValidation>
  </dataValidations>
  <pageMargins left="0.7" right="0.7" top="0.75" bottom="0.75" header="0.3" footer="0.3"/>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60AA-CBB7-41DF-A8B7-37C4753094F4}">
  <sheetPr codeName="Blad186"/>
  <dimension ref="B2:AD15"/>
  <sheetViews>
    <sheetView showGridLines="0" workbookViewId="0"/>
  </sheetViews>
  <sheetFormatPr defaultRowHeight="15"/>
  <cols>
    <col min="2" max="2" width="17.42578125" bestFit="1" customWidth="1"/>
    <col min="3" max="5" width="15.7109375" customWidth="1"/>
    <col min="6" max="8" width="40.7109375" customWidth="1"/>
    <col min="9" max="11" width="15.7109375" customWidth="1"/>
    <col min="12" max="13" width="40.7109375" customWidth="1"/>
    <col min="14" max="18" width="15.7109375" customWidth="1"/>
  </cols>
  <sheetData>
    <row r="2" spans="2:30" ht="23.25">
      <c r="B2" s="86" t="s">
        <v>789</v>
      </c>
      <c r="C2" s="87"/>
      <c r="D2" s="87"/>
      <c r="E2" s="87"/>
      <c r="F2" s="87"/>
      <c r="G2" s="87"/>
      <c r="H2" s="87"/>
      <c r="I2" s="87"/>
      <c r="J2" s="87"/>
      <c r="K2" s="87"/>
      <c r="L2" s="87"/>
      <c r="M2" s="87"/>
      <c r="N2" s="87"/>
      <c r="O2" s="87"/>
    </row>
    <row r="5" spans="2:30" ht="18.75">
      <c r="B5" s="88" t="s">
        <v>5970</v>
      </c>
      <c r="C5" s="87"/>
      <c r="D5" s="87"/>
      <c r="E5" s="87"/>
      <c r="F5" s="87"/>
      <c r="G5" s="87"/>
      <c r="H5" s="87"/>
      <c r="I5" s="87"/>
      <c r="J5" s="87"/>
      <c r="K5" s="87"/>
      <c r="L5" s="87"/>
    </row>
    <row r="9" spans="2:30">
      <c r="B9" s="89" t="s">
        <v>3374</v>
      </c>
      <c r="C9" s="89" t="s">
        <v>5925</v>
      </c>
      <c r="D9" s="89" t="s">
        <v>5971</v>
      </c>
      <c r="E9" s="89" t="s">
        <v>5972</v>
      </c>
      <c r="F9" s="92" t="s">
        <v>2877</v>
      </c>
      <c r="G9" s="93"/>
      <c r="H9" s="93"/>
      <c r="I9" s="93"/>
      <c r="J9" s="93"/>
      <c r="K9" s="93"/>
      <c r="L9" s="93"/>
      <c r="M9" s="93"/>
      <c r="N9" s="93"/>
      <c r="O9" s="93"/>
      <c r="P9" s="93"/>
      <c r="Q9" s="93"/>
      <c r="R9" s="94"/>
    </row>
    <row r="10" spans="2:30">
      <c r="B10" s="90"/>
      <c r="C10" s="90"/>
      <c r="D10" s="90"/>
      <c r="E10" s="90"/>
      <c r="F10" s="95"/>
      <c r="G10" s="96"/>
      <c r="H10" s="96"/>
      <c r="I10" s="96"/>
      <c r="J10" s="96"/>
      <c r="K10" s="96"/>
      <c r="L10" s="96"/>
      <c r="M10" s="96"/>
      <c r="N10" s="96"/>
      <c r="O10" s="96"/>
      <c r="P10" s="96"/>
      <c r="Q10" s="96"/>
      <c r="R10" s="97"/>
    </row>
    <row r="11" spans="2:30" ht="105">
      <c r="B11" s="91"/>
      <c r="C11" s="91"/>
      <c r="D11" s="91"/>
      <c r="E11" s="91"/>
      <c r="F11" s="55" t="s">
        <v>5973</v>
      </c>
      <c r="G11" s="55" t="s">
        <v>5974</v>
      </c>
      <c r="H11" s="55" t="s">
        <v>5931</v>
      </c>
      <c r="I11" s="55" t="s">
        <v>5932</v>
      </c>
      <c r="J11" s="55" t="s">
        <v>5975</v>
      </c>
      <c r="K11" s="55" t="s">
        <v>5976</v>
      </c>
      <c r="L11" s="55" t="s">
        <v>5934</v>
      </c>
      <c r="M11" s="55" t="s">
        <v>5977</v>
      </c>
      <c r="N11" s="55" t="s">
        <v>5978</v>
      </c>
      <c r="O11" s="55" t="s">
        <v>5979</v>
      </c>
      <c r="P11" s="55" t="s">
        <v>5980</v>
      </c>
      <c r="Q11" s="55" t="s">
        <v>5981</v>
      </c>
      <c r="R11" s="55" t="s">
        <v>5982</v>
      </c>
    </row>
    <row r="12" spans="2:30">
      <c r="B12" s="42" t="s">
        <v>3581</v>
      </c>
      <c r="C12" s="42" t="s">
        <v>2879</v>
      </c>
      <c r="D12" s="42" t="s">
        <v>3225</v>
      </c>
      <c r="E12" s="42" t="s">
        <v>3231</v>
      </c>
      <c r="F12" s="42" t="s">
        <v>3219</v>
      </c>
      <c r="G12" s="42" t="s">
        <v>3229</v>
      </c>
      <c r="H12" s="42" t="s">
        <v>3234</v>
      </c>
      <c r="I12" s="42" t="s">
        <v>3236</v>
      </c>
      <c r="J12" s="42" t="s">
        <v>3239</v>
      </c>
      <c r="K12" s="42" t="s">
        <v>3241</v>
      </c>
      <c r="L12" s="42" t="s">
        <v>3243</v>
      </c>
      <c r="M12" s="42" t="s">
        <v>3375</v>
      </c>
      <c r="N12" s="42" t="s">
        <v>3475</v>
      </c>
      <c r="O12" s="42" t="s">
        <v>3477</v>
      </c>
      <c r="P12" s="42" t="s">
        <v>3479</v>
      </c>
      <c r="Q12" s="42" t="s">
        <v>3594</v>
      </c>
      <c r="R12" s="42" t="s">
        <v>3596</v>
      </c>
      <c r="AC12" s="13" t="str">
        <f>Show!$B$182&amp;"S.36.04.01.01 Rows {"&amp;COLUMN($B$1)&amp;"}"&amp;"@ForceFilingCode:true"</f>
        <v>!S.36.04.01.01 Rows {2}@ForceFilingCode:true</v>
      </c>
      <c r="AD12" s="13" t="str">
        <f>Show!$B$182&amp;"S.36.04.01.01 Columns {"&amp;COLUMN($B$1)&amp;"}"</f>
        <v>!S.36.04.01.01 Columns {2}</v>
      </c>
    </row>
    <row r="13" spans="2:30">
      <c r="B13" s="50"/>
      <c r="C13" s="50"/>
      <c r="D13" s="50"/>
      <c r="E13" s="50"/>
      <c r="F13" s="51"/>
      <c r="G13" s="51"/>
      <c r="H13" s="51"/>
      <c r="I13" s="54"/>
      <c r="J13" s="54"/>
      <c r="K13" s="54"/>
      <c r="L13" s="51"/>
      <c r="M13" s="51"/>
      <c r="N13" s="60"/>
      <c r="O13" s="60"/>
      <c r="P13" s="60"/>
      <c r="Q13" s="60"/>
      <c r="R13" s="60"/>
    </row>
    <row r="15" spans="2:30">
      <c r="AC15" s="13" t="str">
        <f>Show!$B$182&amp;Show!$B$182&amp;"S.36.04.01.01 Rows {"&amp;COLUMN($B$1)&amp;"}"</f>
        <v>!!S.36.04.01.01 Rows {2}</v>
      </c>
      <c r="AD15" s="13" t="str">
        <f>Show!$B$182&amp;Show!$B$182&amp;"S.36.04.01.01 Columns {"&amp;COLUMN($R$1)&amp;"}"</f>
        <v>!!S.36.04.01.01 Columns {18}</v>
      </c>
    </row>
  </sheetData>
  <sheetProtection sheet="1" objects="1" scenarios="1"/>
  <mergeCells count="7">
    <mergeCell ref="B2:O2"/>
    <mergeCell ref="B5:L5"/>
    <mergeCell ref="B9:B11"/>
    <mergeCell ref="C9:C11"/>
    <mergeCell ref="D9:D11"/>
    <mergeCell ref="E9:E11"/>
    <mergeCell ref="F9:R10"/>
  </mergeCells>
  <dataValidations count="3">
    <dataValidation type="list" errorStyle="warning" allowBlank="1" showInputMessage="1" showErrorMessage="1" sqref="H13" xr:uid="{D4AE2842-901A-4F9C-861D-71A44884B641}">
      <formula1>hier_MC_37</formula1>
    </dataValidation>
    <dataValidation type="date" operator="greaterThan" allowBlank="1" showInputMessage="1" showErrorMessage="1" errorTitle="Date value" error="This cell can only contain dates" sqref="I13:K13" xr:uid="{0F66B50E-A49B-472D-80B1-762F5978EB8F}">
      <formula1>1</formula1>
    </dataValidation>
    <dataValidation type="list" errorStyle="warning" allowBlank="1" showInputMessage="1" showErrorMessage="1" sqref="L13" xr:uid="{60986C7F-3374-42FC-AEAE-5DAEB5044508}">
      <formula1>hier_CU_1</formula1>
    </dataValidation>
  </dataValidations>
  <pageMargins left="0.7" right="0.7" top="0.75" bottom="0.75" header="0.3" footer="0.3"/>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40312-8C7C-443A-969F-9C7C77A9DDED}">
  <sheetPr codeName="Blad187"/>
  <dimension ref="B2:AC15"/>
  <sheetViews>
    <sheetView showGridLines="0" workbookViewId="0"/>
  </sheetViews>
  <sheetFormatPr defaultRowHeight="15"/>
  <cols>
    <col min="2" max="2" width="17.42578125" bestFit="1" customWidth="1"/>
    <col min="3" max="5" width="15.7109375" customWidth="1"/>
    <col min="6" max="13" width="40.7109375" customWidth="1"/>
    <col min="14" max="15" width="15.7109375" customWidth="1"/>
    <col min="16" max="16" width="40.7109375" customWidth="1"/>
    <col min="17" max="17" width="15.7109375" customWidth="1"/>
  </cols>
  <sheetData>
    <row r="2" spans="2:29" ht="23.25">
      <c r="B2" s="86" t="s">
        <v>791</v>
      </c>
      <c r="C2" s="87"/>
      <c r="D2" s="87"/>
      <c r="E2" s="87"/>
      <c r="F2" s="87"/>
      <c r="G2" s="87"/>
      <c r="H2" s="87"/>
      <c r="I2" s="87"/>
      <c r="J2" s="87"/>
      <c r="K2" s="87"/>
      <c r="L2" s="87"/>
      <c r="M2" s="87"/>
      <c r="N2" s="87"/>
      <c r="O2" s="87"/>
    </row>
    <row r="5" spans="2:29" ht="18.75">
      <c r="B5" s="88" t="s">
        <v>5983</v>
      </c>
      <c r="C5" s="87"/>
      <c r="D5" s="87"/>
      <c r="E5" s="87"/>
      <c r="F5" s="87"/>
      <c r="G5" s="87"/>
      <c r="H5" s="87"/>
      <c r="I5" s="87"/>
      <c r="J5" s="87"/>
      <c r="K5" s="87"/>
      <c r="L5" s="87"/>
    </row>
    <row r="9" spans="2:29">
      <c r="B9" s="89" t="s">
        <v>3374</v>
      </c>
      <c r="C9" s="89" t="s">
        <v>5984</v>
      </c>
      <c r="D9" s="89" t="s">
        <v>5985</v>
      </c>
      <c r="E9" s="89" t="s">
        <v>5986</v>
      </c>
      <c r="F9" s="92" t="s">
        <v>2877</v>
      </c>
      <c r="G9" s="93"/>
      <c r="H9" s="93"/>
      <c r="I9" s="93"/>
      <c r="J9" s="93"/>
      <c r="K9" s="93"/>
      <c r="L9" s="93"/>
      <c r="M9" s="93"/>
      <c r="N9" s="93"/>
      <c r="O9" s="93"/>
      <c r="P9" s="93"/>
      <c r="Q9" s="94"/>
    </row>
    <row r="10" spans="2:29">
      <c r="B10" s="90"/>
      <c r="C10" s="90"/>
      <c r="D10" s="90"/>
      <c r="E10" s="90"/>
      <c r="F10" s="95"/>
      <c r="G10" s="96"/>
      <c r="H10" s="96"/>
      <c r="I10" s="96"/>
      <c r="J10" s="96"/>
      <c r="K10" s="96"/>
      <c r="L10" s="96"/>
      <c r="M10" s="96"/>
      <c r="N10" s="96"/>
      <c r="O10" s="96"/>
      <c r="P10" s="96"/>
      <c r="Q10" s="97"/>
    </row>
    <row r="11" spans="2:29" ht="60">
      <c r="B11" s="91"/>
      <c r="C11" s="91"/>
      <c r="D11" s="91"/>
      <c r="E11" s="91"/>
      <c r="F11" s="55" t="s">
        <v>5987</v>
      </c>
      <c r="G11" s="55" t="s">
        <v>5988</v>
      </c>
      <c r="H11" s="55" t="s">
        <v>5989</v>
      </c>
      <c r="I11" s="55" t="s">
        <v>5990</v>
      </c>
      <c r="J11" s="55" t="s">
        <v>3615</v>
      </c>
      <c r="K11" s="55" t="s">
        <v>3619</v>
      </c>
      <c r="L11" s="55" t="s">
        <v>5992</v>
      </c>
      <c r="M11" s="55" t="s">
        <v>5993</v>
      </c>
      <c r="N11" s="55" t="s">
        <v>5994</v>
      </c>
      <c r="O11" s="55" t="s">
        <v>5995</v>
      </c>
      <c r="P11" s="55" t="s">
        <v>3606</v>
      </c>
      <c r="Q11" s="55" t="s">
        <v>5996</v>
      </c>
    </row>
    <row r="12" spans="2:29">
      <c r="B12" s="42" t="s">
        <v>3581</v>
      </c>
      <c r="C12" s="42" t="s">
        <v>3219</v>
      </c>
      <c r="D12" s="42" t="s">
        <v>3243</v>
      </c>
      <c r="E12" s="42" t="s">
        <v>3231</v>
      </c>
      <c r="F12" s="42" t="s">
        <v>2879</v>
      </c>
      <c r="G12" s="42" t="s">
        <v>3223</v>
      </c>
      <c r="H12" s="42" t="s">
        <v>3229</v>
      </c>
      <c r="I12" s="42" t="s">
        <v>3234</v>
      </c>
      <c r="J12" s="42" t="s">
        <v>3236</v>
      </c>
      <c r="K12" s="42" t="s">
        <v>5991</v>
      </c>
      <c r="L12" s="42" t="s">
        <v>3239</v>
      </c>
      <c r="M12" s="42" t="s">
        <v>3241</v>
      </c>
      <c r="N12" s="42" t="s">
        <v>3475</v>
      </c>
      <c r="O12" s="42" t="s">
        <v>3477</v>
      </c>
      <c r="P12" s="42" t="s">
        <v>3479</v>
      </c>
      <c r="Q12" s="42" t="s">
        <v>3594</v>
      </c>
      <c r="AB12" s="13" t="str">
        <f>Show!$B$183&amp;"S.37.01.04.01 Rows {"&amp;COLUMN($B$1)&amp;"}"&amp;"@ForceFilingCode:true"</f>
        <v>!S.37.01.04.01 Rows {2}@ForceFilingCode:true</v>
      </c>
      <c r="AC12" s="13" t="str">
        <f>Show!$B$183&amp;"S.37.01.04.01 Columns {"&amp;COLUMN($B$1)&amp;"}"</f>
        <v>!S.37.01.04.01 Columns {2}</v>
      </c>
    </row>
    <row r="13" spans="2:29">
      <c r="B13" s="50"/>
      <c r="C13" s="50"/>
      <c r="D13" s="50"/>
      <c r="E13" s="50"/>
      <c r="F13" s="51"/>
      <c r="G13" s="51"/>
      <c r="H13" s="51"/>
      <c r="I13" s="51"/>
      <c r="J13" s="51"/>
      <c r="K13" s="51"/>
      <c r="L13" s="51"/>
      <c r="M13" s="51"/>
      <c r="N13" s="54"/>
      <c r="O13" s="60"/>
      <c r="P13" s="51"/>
      <c r="Q13" s="60"/>
    </row>
    <row r="15" spans="2:29">
      <c r="AB15" s="13" t="str">
        <f>Show!$B$183&amp;Show!$B$183&amp;"S.37.01.04.01 Rows {"&amp;COLUMN($B$1)&amp;"}"</f>
        <v>!!S.37.01.04.01 Rows {2}</v>
      </c>
      <c r="AC15" s="13" t="str">
        <f>Show!$B$183&amp;Show!$B$183&amp;"S.37.01.04.01 Columns {"&amp;COLUMN($Q$1)&amp;"}"</f>
        <v>!!S.37.01.04.01 Columns {17}</v>
      </c>
    </row>
  </sheetData>
  <sheetProtection sheet="1" objects="1" scenarios="1"/>
  <mergeCells count="7">
    <mergeCell ref="B2:O2"/>
    <mergeCell ref="B5:L5"/>
    <mergeCell ref="B9:B11"/>
    <mergeCell ref="C9:C11"/>
    <mergeCell ref="D9:D11"/>
    <mergeCell ref="E9:E11"/>
    <mergeCell ref="F9:Q10"/>
  </mergeCells>
  <dataValidations count="6">
    <dataValidation type="list" errorStyle="warning" allowBlank="1" showInputMessage="1" showErrorMessage="1" sqref="G13" xr:uid="{CFCB87BE-99A9-4647-8F1A-4EBDD10679AF}">
      <formula1>hier_GA_18</formula1>
    </dataValidation>
    <dataValidation type="list" errorStyle="warning" allowBlank="1" showInputMessage="1" showErrorMessage="1" sqref="H13" xr:uid="{419AEDB3-AB10-408A-B9A8-8BE2ACF71838}">
      <formula1>hier_EX_5</formula1>
    </dataValidation>
    <dataValidation type="list" errorStyle="warning" allowBlank="1" showInputMessage="1" showErrorMessage="1" sqref="J13" xr:uid="{7C8E5932-AA13-4A2C-A06C-FD3A85E4ADD6}">
      <formula1>hier_SE_27</formula1>
    </dataValidation>
    <dataValidation type="list" errorStyle="warning" allowBlank="1" showInputMessage="1" showErrorMessage="1" sqref="L13" xr:uid="{EE6E24FE-F8D3-4840-B831-04AC4F51F66F}">
      <formula1>hier_NC_1</formula1>
    </dataValidation>
    <dataValidation type="date" operator="greaterThan" allowBlank="1" showInputMessage="1" showErrorMessage="1" errorTitle="Date value" error="This cell can only contain dates" sqref="N13" xr:uid="{DD47DA41-CE8D-44C9-9A8C-B950E7E74A28}">
      <formula1>1</formula1>
    </dataValidation>
    <dataValidation type="list" errorStyle="warning" allowBlank="1" showInputMessage="1" showErrorMessage="1" sqref="P13" xr:uid="{6AB5F2F4-778C-43E7-9928-698E7D04ABCB}">
      <formula1>hier_CU_1</formula1>
    </dataValidation>
  </dataValidations>
  <pageMargins left="0.7" right="0.7" top="0.75" bottom="0.75" header="0.3" footer="0.3"/>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1C2A2-538E-408B-84A6-F50D03CCA51F}">
  <sheetPr codeName="Blad188"/>
  <dimension ref="B2:O17"/>
  <sheetViews>
    <sheetView showGridLines="0" workbookViewId="0"/>
  </sheetViews>
  <sheetFormatPr defaultRowHeight="15"/>
  <cols>
    <col min="2" max="2" width="56.7109375" bestFit="1" customWidth="1"/>
    <col min="4" max="4" width="15.7109375" customWidth="1"/>
  </cols>
  <sheetData>
    <row r="2" spans="2:15" ht="23.25">
      <c r="B2" s="86" t="s">
        <v>793</v>
      </c>
      <c r="C2" s="87"/>
      <c r="D2" s="87"/>
      <c r="E2" s="87"/>
      <c r="F2" s="87"/>
      <c r="G2" s="87"/>
      <c r="H2" s="87"/>
      <c r="I2" s="87"/>
      <c r="J2" s="87"/>
      <c r="K2" s="87"/>
      <c r="L2" s="87"/>
      <c r="M2" s="87"/>
      <c r="N2" s="87"/>
      <c r="O2" s="87"/>
    </row>
    <row r="5" spans="2:15" ht="18.75">
      <c r="B5" s="88" t="s">
        <v>5997</v>
      </c>
      <c r="C5" s="87"/>
      <c r="D5" s="87"/>
      <c r="E5" s="87"/>
      <c r="F5" s="87"/>
      <c r="G5" s="87"/>
      <c r="H5" s="87"/>
      <c r="I5" s="87"/>
      <c r="J5" s="87"/>
      <c r="K5" s="87"/>
      <c r="L5" s="87"/>
    </row>
    <row r="9" spans="2:15">
      <c r="D9" s="89" t="s">
        <v>2877</v>
      </c>
    </row>
    <row r="10" spans="2:15">
      <c r="D10" s="90"/>
    </row>
    <row r="11" spans="2:15">
      <c r="D11" s="91"/>
    </row>
    <row r="12" spans="2:15">
      <c r="D12" s="45" t="s">
        <v>2879</v>
      </c>
      <c r="I12" s="13" t="str">
        <f>Show!$B$184&amp;"S.38.01.10.01 Rows {"&amp;COLUMN($C$1)&amp;"}"&amp;"@ForceFilingCode:true"</f>
        <v>!S.38.01.10.01 Rows {3}@ForceFilingCode:true</v>
      </c>
      <c r="J12" s="13" t="str">
        <f>Show!$B$184&amp;"S.38.01.10.01 Columns {"&amp;COLUMN($D$1)&amp;"}"</f>
        <v>!S.38.01.10.01 Columns {4}</v>
      </c>
    </row>
    <row r="13" spans="2:15">
      <c r="B13" s="43" t="s">
        <v>2880</v>
      </c>
      <c r="C13" s="44" t="s">
        <v>2878</v>
      </c>
      <c r="D13" s="46"/>
    </row>
    <row r="14" spans="2:15">
      <c r="B14" s="47" t="s">
        <v>5998</v>
      </c>
      <c r="C14" s="41" t="s">
        <v>2883</v>
      </c>
      <c r="D14" s="69"/>
    </row>
    <row r="15" spans="2:15">
      <c r="B15" s="47" t="s">
        <v>5999</v>
      </c>
      <c r="C15" s="41" t="s">
        <v>2885</v>
      </c>
      <c r="D15" s="69"/>
    </row>
    <row r="17" spans="9:10">
      <c r="I17" s="13" t="str">
        <f>Show!$B$184&amp;Show!$B$184&amp;"S.38.01.10.01 Rows {"&amp;COLUMN($C$1)&amp;"}"</f>
        <v>!!S.38.01.10.01 Rows {3}</v>
      </c>
      <c r="J17" s="13" t="str">
        <f>Show!$B$184&amp;Show!$B$184&amp;"S.38.01.10.01 Columns {"&amp;COLUMN($D$1)&amp;"}"</f>
        <v>!!S.38.01.10.01 Columns {4}</v>
      </c>
    </row>
  </sheetData>
  <sheetProtection sheet="1" objects="1" scenarios="1"/>
  <mergeCells count="3">
    <mergeCell ref="B2:O2"/>
    <mergeCell ref="B5:L5"/>
    <mergeCell ref="D9:D11"/>
  </mergeCells>
  <pageMargins left="0.7" right="0.7" top="0.75" bottom="0.75" header="0.3" footer="0.3"/>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FFDDB-6440-4897-9EF2-376278C6CF04}">
  <sheetPr codeName="Blad189"/>
  <dimension ref="B2:O16"/>
  <sheetViews>
    <sheetView showGridLines="0" workbookViewId="0">
      <selection activeCell="D14" sqref="D14"/>
    </sheetView>
  </sheetViews>
  <sheetFormatPr defaultRowHeight="15"/>
  <cols>
    <col min="2" max="2" width="34.85546875" bestFit="1" customWidth="1"/>
    <col min="4" max="4" width="15.7109375" customWidth="1"/>
  </cols>
  <sheetData>
    <row r="2" spans="2:15" ht="23.25">
      <c r="B2" s="86" t="s">
        <v>795</v>
      </c>
      <c r="C2" s="87"/>
      <c r="D2" s="87"/>
      <c r="E2" s="87"/>
      <c r="F2" s="87"/>
      <c r="G2" s="87"/>
      <c r="H2" s="87"/>
      <c r="I2" s="87"/>
      <c r="J2" s="87"/>
      <c r="K2" s="87"/>
      <c r="L2" s="87"/>
      <c r="M2" s="87"/>
      <c r="N2" s="87"/>
      <c r="O2" s="87"/>
    </row>
    <row r="5" spans="2:15" ht="18.75">
      <c r="B5" s="88" t="s">
        <v>6000</v>
      </c>
      <c r="C5" s="87"/>
      <c r="D5" s="87"/>
      <c r="E5" s="87"/>
      <c r="F5" s="87"/>
      <c r="G5" s="87"/>
      <c r="H5" s="87"/>
      <c r="I5" s="87"/>
      <c r="J5" s="87"/>
      <c r="K5" s="87"/>
      <c r="L5" s="87"/>
    </row>
    <row r="9" spans="2:15">
      <c r="D9" s="89" t="s">
        <v>2877</v>
      </c>
    </row>
    <row r="10" spans="2:15">
      <c r="D10" s="90"/>
    </row>
    <row r="11" spans="2:15">
      <c r="D11" s="91"/>
    </row>
    <row r="12" spans="2:15">
      <c r="D12" s="45" t="s">
        <v>2879</v>
      </c>
      <c r="I12" s="13" t="str">
        <f>Show!$B$185&amp;"S.39.01.11.01 Rows {"&amp;COLUMN($C$1)&amp;"}"&amp;"@ForceFilingCode:true"</f>
        <v>!S.39.01.11.01 Rows {3}@ForceFilingCode:true</v>
      </c>
      <c r="J12" s="13" t="str">
        <f>Show!$B$185&amp;"S.39.01.11.01 Columns {"&amp;COLUMN($D$1)&amp;"}"</f>
        <v>!S.39.01.11.01 Columns {4}</v>
      </c>
    </row>
    <row r="13" spans="2:15">
      <c r="B13" s="43" t="s">
        <v>2880</v>
      </c>
      <c r="C13" s="44" t="s">
        <v>2878</v>
      </c>
      <c r="D13" s="46"/>
    </row>
    <row r="14" spans="2:15">
      <c r="B14" s="47" t="s">
        <v>6001</v>
      </c>
      <c r="C14" s="41" t="s">
        <v>2883</v>
      </c>
      <c r="D14" s="60"/>
    </row>
    <row r="16" spans="2:15">
      <c r="I16" s="13" t="str">
        <f>Show!$B$185&amp;Show!$B$185&amp;"S.39.01.11.01 Rows {"&amp;COLUMN($C$1)&amp;"}"</f>
        <v>!!S.39.01.11.01 Rows {3}</v>
      </c>
      <c r="J16" s="13" t="str">
        <f>Show!$B$185&amp;Show!$B$185&amp;"S.39.01.11.01 Columns {"&amp;COLUMN($D$1)&amp;"}"</f>
        <v>!!S.39.01.11.01 Columns {4}</v>
      </c>
    </row>
  </sheetData>
  <sheetProtection sheet="1" objects="1" scenarios="1"/>
  <mergeCells count="3">
    <mergeCell ref="B2:O2"/>
    <mergeCell ref="B5:L5"/>
    <mergeCell ref="D9:D1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36F18-A542-48F8-856E-49DF616940DF}">
  <sheetPr codeName="Blad19"/>
  <dimension ref="B2:O32"/>
  <sheetViews>
    <sheetView showGridLines="0" workbookViewId="0"/>
  </sheetViews>
  <sheetFormatPr defaultRowHeight="15"/>
  <cols>
    <col min="2" max="2" width="83.85546875" bestFit="1" customWidth="1"/>
    <col min="4" max="4" width="40.7109375" customWidth="1"/>
  </cols>
  <sheetData>
    <row r="2" spans="2:15" ht="23.25">
      <c r="B2" s="86" t="s">
        <v>512</v>
      </c>
      <c r="C2" s="87"/>
      <c r="D2" s="87"/>
      <c r="E2" s="87"/>
      <c r="F2" s="87"/>
      <c r="G2" s="87"/>
      <c r="H2" s="87"/>
      <c r="I2" s="87"/>
      <c r="J2" s="87"/>
      <c r="K2" s="87"/>
      <c r="L2" s="87"/>
      <c r="M2" s="87"/>
      <c r="N2" s="87"/>
      <c r="O2" s="87"/>
    </row>
    <row r="5" spans="2:15" ht="18.75">
      <c r="B5" s="88" t="s">
        <v>3149</v>
      </c>
      <c r="C5" s="87"/>
      <c r="D5" s="87"/>
      <c r="E5" s="87"/>
      <c r="F5" s="87"/>
      <c r="G5" s="87"/>
      <c r="H5" s="87"/>
      <c r="I5" s="87"/>
      <c r="J5" s="87"/>
      <c r="K5" s="87"/>
      <c r="L5" s="87"/>
    </row>
    <row r="7" spans="2:15">
      <c r="B7" t="s">
        <v>3110</v>
      </c>
      <c r="I7" s="13" t="str">
        <f>IF(COUNTIF(D:D,"Reported")&gt;0,Show!$B$15,"!")&amp;"SR.01.01.04.01 Table label {"&amp;COLUMN($C$1)&amp;"}"</f>
        <v>!SR.01.01.04.01 Table label {3}</v>
      </c>
      <c r="J7" s="13" t="str">
        <f>IF(COUNTIF(D:D,"Reported")&gt;0,Show!$B$15,"!")&amp;"SR.01.01.04.01 Table value {"&amp;COLUMN($D$1)&amp;"}"</f>
        <v>!SR.01.01.04.01 Table value {4}</v>
      </c>
    </row>
    <row r="8" spans="2:15">
      <c r="B8" t="s">
        <v>3111</v>
      </c>
    </row>
    <row r="9" spans="2:15">
      <c r="B9" s="40" t="s">
        <v>3112</v>
      </c>
      <c r="C9" s="53" t="s">
        <v>3113</v>
      </c>
      <c r="D9" s="51"/>
    </row>
    <row r="10" spans="2:15">
      <c r="B10" s="40" t="s">
        <v>3114</v>
      </c>
      <c r="C10" s="53" t="s">
        <v>3115</v>
      </c>
      <c r="D10" s="50"/>
    </row>
    <row r="11" spans="2:15">
      <c r="I11" s="13" t="str">
        <f>IF(COUNTIF(D:D,"Reported")&gt;0,Show!$B$15&amp;Show!$B$15,"!!")&amp;"SR.01.01.04.01 Table label {"&amp;COLUMN($C$1)&amp;"}"</f>
        <v>!!SR.01.01.04.01 Table label {3}</v>
      </c>
      <c r="J11" s="13" t="str">
        <f>IF(COUNTIF(D:D,"Reported")&gt;0,Show!$B$15&amp;Show!$B$15,"!!")&amp;"SR.01.01.04.01 Table value {"&amp;COLUMN($D$1)&amp;"}"</f>
        <v>!!SR.01.01.04.01 Table value {4}</v>
      </c>
    </row>
    <row r="13" spans="2:15">
      <c r="D13" s="89" t="s">
        <v>2877</v>
      </c>
    </row>
    <row r="14" spans="2:15">
      <c r="D14" s="90"/>
    </row>
    <row r="15" spans="2:15">
      <c r="D15" s="90"/>
    </row>
    <row r="16" spans="2:15">
      <c r="D16" s="91"/>
    </row>
    <row r="17" spans="2:10">
      <c r="D17" s="45" t="s">
        <v>2879</v>
      </c>
      <c r="I17" s="13" t="str">
        <f>IF(COUNTIF(D:D,"Reported")&gt;0,Show!$B$15,"!")&amp;"SR.01.01.04.01 Rows {"&amp;COLUMN($C$1)&amp;"}"&amp;"@ForceFilingCode:true"</f>
        <v>!SR.01.01.04.01 Rows {3}@ForceFilingCode:true</v>
      </c>
      <c r="J17" s="13" t="str">
        <f>IF(COUNTIF(D:D,"Reported")&gt;0,Show!$B$15,"!")&amp;"SR.01.01.04.01 Columns {"&amp;COLUMN($D$1)&amp;"}"</f>
        <v>!SR.01.01.04.01 Columns {4}</v>
      </c>
    </row>
    <row r="18" spans="2:10">
      <c r="B18" s="43" t="s">
        <v>2880</v>
      </c>
      <c r="C18" s="44" t="s">
        <v>2878</v>
      </c>
      <c r="D18" s="48"/>
    </row>
    <row r="19" spans="2:10">
      <c r="B19" s="47" t="s">
        <v>2881</v>
      </c>
      <c r="C19" s="44" t="s">
        <v>2878</v>
      </c>
      <c r="D19" s="46"/>
    </row>
    <row r="20" spans="2:10">
      <c r="B20" s="52" t="s">
        <v>3117</v>
      </c>
      <c r="C20" s="41" t="s">
        <v>3118</v>
      </c>
      <c r="D20" s="51"/>
    </row>
    <row r="21" spans="2:10">
      <c r="B21" s="52" t="s">
        <v>3150</v>
      </c>
      <c r="C21" s="41" t="s">
        <v>3128</v>
      </c>
      <c r="D21" s="51"/>
    </row>
    <row r="22" spans="2:10" ht="30">
      <c r="B22" s="52" t="s">
        <v>3151</v>
      </c>
      <c r="C22" s="41" t="s">
        <v>3130</v>
      </c>
      <c r="D22" s="51"/>
    </row>
    <row r="23" spans="2:10">
      <c r="B23" s="52" t="s">
        <v>3152</v>
      </c>
      <c r="C23" s="41" t="s">
        <v>3132</v>
      </c>
      <c r="D23" s="51"/>
    </row>
    <row r="24" spans="2:10">
      <c r="B24" s="52" t="s">
        <v>3133</v>
      </c>
      <c r="C24" s="41" t="s">
        <v>3134</v>
      </c>
      <c r="D24" s="51"/>
    </row>
    <row r="25" spans="2:10">
      <c r="B25" s="52" t="s">
        <v>3135</v>
      </c>
      <c r="C25" s="41" t="s">
        <v>3136</v>
      </c>
      <c r="D25" s="51"/>
    </row>
    <row r="26" spans="2:10">
      <c r="B26" s="52" t="s">
        <v>3137</v>
      </c>
      <c r="C26" s="41" t="s">
        <v>3138</v>
      </c>
      <c r="D26" s="51"/>
    </row>
    <row r="27" spans="2:10">
      <c r="B27" s="52" t="s">
        <v>3139</v>
      </c>
      <c r="C27" s="41" t="s">
        <v>3140</v>
      </c>
      <c r="D27" s="51"/>
    </row>
    <row r="28" spans="2:10">
      <c r="B28" s="52" t="s">
        <v>3141</v>
      </c>
      <c r="C28" s="41" t="s">
        <v>3142</v>
      </c>
      <c r="D28" s="51"/>
    </row>
    <row r="29" spans="2:10">
      <c r="B29" s="52" t="s">
        <v>3143</v>
      </c>
      <c r="C29" s="41" t="s">
        <v>3144</v>
      </c>
      <c r="D29" s="51"/>
    </row>
    <row r="30" spans="2:10">
      <c r="B30" s="52" t="s">
        <v>3145</v>
      </c>
      <c r="C30" s="41" t="s">
        <v>3146</v>
      </c>
      <c r="D30" s="51"/>
    </row>
    <row r="31" spans="2:10">
      <c r="B31" s="52" t="s">
        <v>3147</v>
      </c>
      <c r="C31" s="41" t="s">
        <v>3148</v>
      </c>
      <c r="D31" s="51"/>
    </row>
    <row r="32" spans="2:10">
      <c r="I32" s="13" t="str">
        <f>IF(COUNTIF(D:D,"Reported")&gt;0,Show!$B$15&amp;Show!$B$15,"!!")&amp;"SR.01.01.04.01 Rows {"&amp;COLUMN($C$1)&amp;"}"</f>
        <v>!!SR.01.01.04.01 Rows {3}</v>
      </c>
      <c r="J32" s="13" t="str">
        <f>IF(COUNTIF(D:D,"Reported")&gt;0,Show!$B$15&amp;Show!$B$15,"!!")&amp;"SR.01.01.04.01 Columns {"&amp;COLUMN($D$1)&amp;"}"</f>
        <v>!!SR.01.01.04.01 Columns {4}</v>
      </c>
    </row>
  </sheetData>
  <sheetProtection sheet="1" objects="1" scenarios="1"/>
  <mergeCells count="3">
    <mergeCell ref="B2:O2"/>
    <mergeCell ref="B5:L5"/>
    <mergeCell ref="D13:D16"/>
  </mergeCells>
  <dataValidations count="9">
    <dataValidation type="list" errorStyle="warning" allowBlank="1" showInputMessage="1" showErrorMessage="1" sqref="D9" xr:uid="{4C21685D-13CA-4840-948F-A040AFDD5FA4}">
      <formula1>hier_PU_20</formula1>
    </dataValidation>
    <dataValidation type="list" errorStyle="warning" allowBlank="1" showInputMessage="1" showErrorMessage="1" sqref="D20" xr:uid="{922E6B7D-B215-4FE5-B3FE-D36D1D9E149C}">
      <formula1>hier_CN_78</formula1>
    </dataValidation>
    <dataValidation type="list" errorStyle="warning" allowBlank="1" showInputMessage="1" showErrorMessage="1" sqref="D21" xr:uid="{67EBE276-F705-4F39-B67E-6F7B6F80CDC0}">
      <formula1>hier_CN_109</formula1>
    </dataValidation>
    <dataValidation type="list" errorStyle="warning" allowBlank="1" showInputMessage="1" showErrorMessage="1" sqref="D22" xr:uid="{2208F06B-57D9-4190-9D78-971D2B88AE63}">
      <formula1>hier_CN_49</formula1>
    </dataValidation>
    <dataValidation type="list" errorStyle="warning" allowBlank="1" showInputMessage="1" showErrorMessage="1" sqref="D23" xr:uid="{BAC493ED-7025-424F-9D21-C4A03CE5CEE7}">
      <formula1>hier_CN_50</formula1>
    </dataValidation>
    <dataValidation type="list" errorStyle="warning" allowBlank="1" showInputMessage="1" showErrorMessage="1" sqref="D24 D25 D26 D27 D28" xr:uid="{89F6864B-BB2E-440C-BA91-57AB11AE1108}">
      <formula1>hier_CN_125</formula1>
    </dataValidation>
    <dataValidation type="list" errorStyle="warning" allowBlank="1" showInputMessage="1" showErrorMessage="1" sqref="D29" xr:uid="{24EA9CC6-93A7-46ED-A150-09A9C34B3E6F}">
      <formula1>hier_CN_54</formula1>
    </dataValidation>
    <dataValidation type="list" errorStyle="warning" allowBlank="1" showInputMessage="1" showErrorMessage="1" sqref="D30" xr:uid="{FF784336-C6B2-45F3-B139-159869B95607}">
      <formula1>hier_CN_56</formula1>
    </dataValidation>
    <dataValidation type="list" errorStyle="warning" allowBlank="1" showInputMessage="1" showErrorMessage="1" sqref="D31" xr:uid="{AC38EEEC-3663-47B8-86CF-75EF030DCFD6}">
      <formula1>hier_CN_52</formula1>
    </dataValidation>
  </dataValidations>
  <hyperlinks>
    <hyperlink ref="B20" location="'SR.02.01.01'!A1" display="SR.02.01.01 - Balance sheet" xr:uid="{154C21C6-FF85-4E1D-B7A7-37DF2D72B31C}"/>
    <hyperlink ref="B21" location="'SR.25.01.04'!A1" display="SR.25.01.04 - Solvency Capital Requirement - for groups on Standard Formula" xr:uid="{38742825-E211-494D-A0D8-07C6ACACDB3D}"/>
    <hyperlink ref="B22" location="'SR.25.02.04'!A1" display="SR.25.02.04 - Solvency Capital Requirement - for groups using the standard formula and partial internal model" xr:uid="{52E3F9D2-B079-4F65-A600-0F5338EEB143}"/>
    <hyperlink ref="B23" location="'SR.25.03.04'!A1" display="SR.25.03.04 - Solvency Capital Requirement - for groups on Full Internal Models" xr:uid="{6A265D1E-2F61-4E07-B68D-283BDF775664}"/>
    <hyperlink ref="B24" location="'SR.26.01.01'!A1" display="SR.26.01.01 - Solvency Capital Requirement - Market risk" xr:uid="{E429BDE5-12CE-446B-996A-B78D36A24542}"/>
    <hyperlink ref="B25" location="'SR.26.02.01'!A1" display="SR.26.02.01 - Solvency Capital Requirement - Counterparty default risk" xr:uid="{21A9B788-C217-484D-9034-558D5523C9D0}"/>
    <hyperlink ref="B26" location="'SR.26.03.01'!A1" display="SR.26.03.01 - Solvency Capital Requirement - Life underwriting risk" xr:uid="{DCE7D160-371F-4B60-8C32-0A73C0E8D169}"/>
    <hyperlink ref="B27" location="'SR.26.04.01'!A1" display="SR.26.04.01 - Solvency Capital Requirement - Health underwriting risk" xr:uid="{BAD151F7-33CD-4118-BBE2-613A809EEFB6}"/>
    <hyperlink ref="B28" location="'SR.26.05.01'!A1" display="SR.26.05.01 - Solvency Capital Requirement - Non-Life underwriting risk" xr:uid="{2A2B8989-3F36-4E00-8E41-984FC0D3456B}"/>
    <hyperlink ref="B29" location="'SR.26.06.01'!A1" display="SR.26.06.01 - Solvency Capital Requirement - Operational risk" xr:uid="{660BDDCD-546A-4DBB-81A7-FA9A2160880B}"/>
    <hyperlink ref="B30" location="'SR.26.07.01'!A1" display="SR.26.07.01 - Solvency Capital Requirement - Simplifications" xr:uid="{644A9540-0BA0-4CEA-98A4-0A0640E2FFFF}"/>
    <hyperlink ref="B31" location="'SR.27.01.01'!A1" display="SR.27.01.01 - Solvency Capital Requirement - Non-life and Health catastrophe risk" xr:uid="{3472B00B-2ED8-4CBD-B0AA-EBCDBFD800A1}"/>
  </hyperlinks>
  <pageMargins left="0.7" right="0.7" top="0.75" bottom="0.75" header="0.3" footer="0.3"/>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68775-6D2C-483D-B5B2-BC3231827508}">
  <sheetPr codeName="Blad190"/>
  <dimension ref="B2:O16"/>
  <sheetViews>
    <sheetView showGridLines="0" workbookViewId="0"/>
  </sheetViews>
  <sheetFormatPr defaultRowHeight="15"/>
  <cols>
    <col min="2" max="2" width="68.28515625" bestFit="1" customWidth="1"/>
    <col min="4" max="4" width="15.7109375" customWidth="1"/>
  </cols>
  <sheetData>
    <row r="2" spans="2:15" ht="23.25">
      <c r="B2" s="86" t="s">
        <v>797</v>
      </c>
      <c r="C2" s="87"/>
      <c r="D2" s="87"/>
      <c r="E2" s="87"/>
      <c r="F2" s="87"/>
      <c r="G2" s="87"/>
      <c r="H2" s="87"/>
      <c r="I2" s="87"/>
      <c r="J2" s="87"/>
      <c r="K2" s="87"/>
      <c r="L2" s="87"/>
      <c r="M2" s="87"/>
      <c r="N2" s="87"/>
      <c r="O2" s="87"/>
    </row>
    <row r="5" spans="2:15" ht="18.75">
      <c r="B5" s="88" t="s">
        <v>6002</v>
      </c>
      <c r="C5" s="87"/>
      <c r="D5" s="87"/>
      <c r="E5" s="87"/>
      <c r="F5" s="87"/>
      <c r="G5" s="87"/>
      <c r="H5" s="87"/>
      <c r="I5" s="87"/>
      <c r="J5" s="87"/>
      <c r="K5" s="87"/>
      <c r="L5" s="87"/>
    </row>
    <row r="9" spans="2:15">
      <c r="D9" s="89" t="s">
        <v>2877</v>
      </c>
    </row>
    <row r="10" spans="2:15">
      <c r="D10" s="90"/>
    </row>
    <row r="11" spans="2:15">
      <c r="D11" s="91"/>
    </row>
    <row r="12" spans="2:15">
      <c r="D12" s="45" t="s">
        <v>2879</v>
      </c>
      <c r="I12" s="13" t="str">
        <f>Show!$B$186&amp;"S.40.01.10.01 Rows {"&amp;COLUMN($C$1)&amp;"}"&amp;"@ForceFilingCode:true"</f>
        <v>!S.40.01.10.01 Rows {3}@ForceFilingCode:true</v>
      </c>
      <c r="J12" s="13" t="str">
        <f>Show!$B$186&amp;"S.40.01.10.01 Columns {"&amp;COLUMN($D$1)&amp;"}"</f>
        <v>!S.40.01.10.01 Columns {4}</v>
      </c>
    </row>
    <row r="13" spans="2:15">
      <c r="B13" s="43" t="s">
        <v>2880</v>
      </c>
      <c r="C13" s="44" t="s">
        <v>2878</v>
      </c>
      <c r="D13" s="46"/>
    </row>
    <row r="14" spans="2:15">
      <c r="B14" s="47" t="s">
        <v>6003</v>
      </c>
      <c r="C14" s="41" t="s">
        <v>2883</v>
      </c>
      <c r="D14" s="70"/>
    </row>
    <row r="16" spans="2:15">
      <c r="I16" s="13" t="str">
        <f>Show!$B$186&amp;Show!$B$186&amp;"S.40.01.10.01 Rows {"&amp;COLUMN($C$1)&amp;"}"</f>
        <v>!!S.40.01.10.01 Rows {3}</v>
      </c>
      <c r="J16" s="13" t="str">
        <f>Show!$B$186&amp;Show!$B$186&amp;"S.40.01.10.01 Columns {"&amp;COLUMN($D$1)&amp;"}"</f>
        <v>!!S.40.01.10.01 Columns {4}</v>
      </c>
    </row>
  </sheetData>
  <sheetProtection sheet="1" objects="1" scenarios="1"/>
  <mergeCells count="3">
    <mergeCell ref="B2:O2"/>
    <mergeCell ref="B5:L5"/>
    <mergeCell ref="D9:D11"/>
  </mergeCells>
  <pageMargins left="0.7" right="0.7" top="0.75" bottom="0.75" header="0.3" footer="0.3"/>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991-2A87-47C9-A100-39E3F48125DB}">
  <sheetPr codeName="Blad191"/>
  <dimension ref="B2:O17"/>
  <sheetViews>
    <sheetView showGridLines="0" workbookViewId="0"/>
  </sheetViews>
  <sheetFormatPr defaultRowHeight="15"/>
  <cols>
    <col min="2" max="2" width="31.28515625" bestFit="1" customWidth="1"/>
    <col min="4" max="4" width="15.7109375" customWidth="1"/>
  </cols>
  <sheetData>
    <row r="2" spans="2:15" ht="23.25">
      <c r="B2" s="86" t="s">
        <v>799</v>
      </c>
      <c r="C2" s="87"/>
      <c r="D2" s="87"/>
      <c r="E2" s="87"/>
      <c r="F2" s="87"/>
      <c r="G2" s="87"/>
      <c r="H2" s="87"/>
      <c r="I2" s="87"/>
      <c r="J2" s="87"/>
      <c r="K2" s="87"/>
      <c r="L2" s="87"/>
      <c r="M2" s="87"/>
      <c r="N2" s="87"/>
      <c r="O2" s="87"/>
    </row>
    <row r="5" spans="2:15" ht="18.75">
      <c r="B5" s="88" t="s">
        <v>6004</v>
      </c>
      <c r="C5" s="87"/>
      <c r="D5" s="87"/>
      <c r="E5" s="87"/>
      <c r="F5" s="87"/>
      <c r="G5" s="87"/>
      <c r="H5" s="87"/>
      <c r="I5" s="87"/>
      <c r="J5" s="87"/>
      <c r="K5" s="87"/>
      <c r="L5" s="87"/>
    </row>
    <row r="9" spans="2:15">
      <c r="D9" s="89" t="s">
        <v>2877</v>
      </c>
    </row>
    <row r="10" spans="2:15">
      <c r="D10" s="90"/>
    </row>
    <row r="11" spans="2:15">
      <c r="D11" s="91"/>
    </row>
    <row r="12" spans="2:15">
      <c r="D12" s="45" t="s">
        <v>2879</v>
      </c>
      <c r="I12" s="13" t="str">
        <f>Show!$B$187&amp;"S.41.01.11.01 Rows {"&amp;COLUMN($C$1)&amp;"}"&amp;"@ForceFilingCode:true"</f>
        <v>!S.41.01.11.01 Rows {3}@ForceFilingCode:true</v>
      </c>
      <c r="J12" s="13" t="str">
        <f>Show!$B$187&amp;"S.41.01.11.01 Columns {"&amp;COLUMN($D$1)&amp;"}"</f>
        <v>!S.41.01.11.01 Columns {4}</v>
      </c>
    </row>
    <row r="13" spans="2:15">
      <c r="B13" s="43" t="s">
        <v>2880</v>
      </c>
      <c r="C13" s="44" t="s">
        <v>2878</v>
      </c>
      <c r="D13" s="46"/>
    </row>
    <row r="14" spans="2:15">
      <c r="B14" s="47" t="s">
        <v>6005</v>
      </c>
      <c r="C14" s="41" t="s">
        <v>2883</v>
      </c>
      <c r="D14" s="70"/>
    </row>
    <row r="15" spans="2:15">
      <c r="B15" s="47" t="s">
        <v>6006</v>
      </c>
      <c r="C15" s="41" t="s">
        <v>2885</v>
      </c>
      <c r="D15" s="70"/>
    </row>
    <row r="17" spans="9:10">
      <c r="I17" s="13" t="str">
        <f>Show!$B$187&amp;Show!$B$187&amp;"S.41.01.11.01 Rows {"&amp;COLUMN($C$1)&amp;"}"</f>
        <v>!!S.41.01.11.01 Rows {3}</v>
      </c>
      <c r="J17" s="13" t="str">
        <f>Show!$B$187&amp;Show!$B$187&amp;"S.41.01.11.01 Columns {"&amp;COLUMN($D$1)&amp;"}"</f>
        <v>!!S.41.01.11.01 Columns {4}</v>
      </c>
    </row>
  </sheetData>
  <sheetProtection sheet="1" objects="1" scenarios="1"/>
  <mergeCells count="3">
    <mergeCell ref="B2:O2"/>
    <mergeCell ref="B5:L5"/>
    <mergeCell ref="D9:D11"/>
  </mergeCells>
  <pageMargins left="0.7" right="0.7" top="0.75" bottom="0.75" header="0.3" footer="0.3"/>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8C2A7-7C70-4820-B247-6E522FEA5075}">
  <sheetPr codeName="Blad192"/>
  <dimension ref="B2:P15"/>
  <sheetViews>
    <sheetView showGridLines="0" workbookViewId="0"/>
  </sheetViews>
  <sheetFormatPr defaultRowHeight="15"/>
  <cols>
    <col min="2" max="2" width="22.28515625" bestFit="1" customWidth="1"/>
    <col min="3" max="4" width="40.7109375" customWidth="1"/>
    <col min="5" max="7" width="15.7109375" customWidth="1"/>
  </cols>
  <sheetData>
    <row r="2" spans="2:16" ht="23.25">
      <c r="B2" s="86" t="s">
        <v>801</v>
      </c>
      <c r="C2" s="87"/>
      <c r="D2" s="87"/>
      <c r="E2" s="87"/>
      <c r="F2" s="87"/>
      <c r="G2" s="87"/>
      <c r="H2" s="87"/>
      <c r="I2" s="87"/>
      <c r="J2" s="87"/>
      <c r="K2" s="87"/>
      <c r="L2" s="87"/>
      <c r="M2" s="87"/>
      <c r="N2" s="87"/>
      <c r="O2" s="87"/>
    </row>
    <row r="5" spans="2:16" ht="18.75">
      <c r="B5" s="88" t="s">
        <v>6007</v>
      </c>
      <c r="C5" s="87"/>
      <c r="D5" s="87"/>
      <c r="E5" s="87"/>
      <c r="F5" s="87"/>
      <c r="G5" s="87"/>
      <c r="H5" s="87"/>
      <c r="I5" s="87"/>
      <c r="J5" s="87"/>
      <c r="K5" s="87"/>
      <c r="L5" s="87"/>
    </row>
    <row r="9" spans="2:16">
      <c r="B9" s="89" t="s">
        <v>6008</v>
      </c>
      <c r="C9" s="92" t="s">
        <v>2877</v>
      </c>
      <c r="D9" s="93"/>
      <c r="E9" s="93"/>
      <c r="F9" s="93"/>
      <c r="G9" s="94"/>
    </row>
    <row r="10" spans="2:16">
      <c r="B10" s="90"/>
      <c r="C10" s="95"/>
      <c r="D10" s="96"/>
      <c r="E10" s="96"/>
      <c r="F10" s="96"/>
      <c r="G10" s="97"/>
    </row>
    <row r="11" spans="2:16" ht="30">
      <c r="B11" s="91"/>
      <c r="C11" s="55" t="s">
        <v>6010</v>
      </c>
      <c r="D11" s="55" t="s">
        <v>3606</v>
      </c>
      <c r="E11" s="55" t="s">
        <v>3593</v>
      </c>
      <c r="F11" s="55" t="s">
        <v>3595</v>
      </c>
      <c r="G11" s="55" t="s">
        <v>3590</v>
      </c>
    </row>
    <row r="12" spans="2:16">
      <c r="B12" s="42" t="s">
        <v>6009</v>
      </c>
      <c r="C12" s="42" t="s">
        <v>6011</v>
      </c>
      <c r="D12" s="42" t="s">
        <v>6012</v>
      </c>
      <c r="E12" s="42" t="s">
        <v>6013</v>
      </c>
      <c r="F12" s="42" t="s">
        <v>6014</v>
      </c>
      <c r="G12" s="42" t="s">
        <v>6015</v>
      </c>
      <c r="O12" s="13" t="str">
        <f>Show!$B$188&amp;"E.01.01.16.01 Rows {"&amp;COLUMN($B$1)&amp;"}"&amp;"@ForceFilingCode:true"</f>
        <v>!E.01.01.16.01 Rows {2}@ForceFilingCode:true</v>
      </c>
      <c r="P12" s="13" t="str">
        <f>Show!$B$188&amp;"E.01.01.16.01 Columns {"&amp;COLUMN($B$1)&amp;"}"</f>
        <v>!E.01.01.16.01 Columns {2}</v>
      </c>
    </row>
    <row r="13" spans="2:16">
      <c r="B13" s="50"/>
      <c r="C13" s="51"/>
      <c r="D13" s="51"/>
      <c r="E13" s="60"/>
      <c r="F13" s="60"/>
      <c r="G13" s="60"/>
    </row>
    <row r="15" spans="2:16">
      <c r="O15" s="13" t="str">
        <f>Show!$B$188&amp;Show!$B$188&amp;"E.01.01.16.01 Rows {"&amp;COLUMN($B$1)&amp;"}"</f>
        <v>!!E.01.01.16.01 Rows {2}</v>
      </c>
      <c r="P15" s="13" t="str">
        <f>Show!$B$188&amp;Show!$B$188&amp;"E.01.01.16.01 Columns {"&amp;COLUMN($G$1)&amp;"}"</f>
        <v>!!E.01.01.16.01 Columns {7}</v>
      </c>
    </row>
  </sheetData>
  <sheetProtection sheet="1" objects="1" scenarios="1"/>
  <mergeCells count="4">
    <mergeCell ref="B2:O2"/>
    <mergeCell ref="B5:L5"/>
    <mergeCell ref="B9:B11"/>
    <mergeCell ref="C9:G10"/>
  </mergeCells>
  <dataValidations count="2">
    <dataValidation type="list" errorStyle="warning" allowBlank="1" showInputMessage="1" showErrorMessage="1" sqref="C13" xr:uid="{5550B7FC-3575-477E-98E4-5BFED661520C}">
      <formula1>hier_GA_4</formula1>
    </dataValidation>
    <dataValidation type="list" errorStyle="warning" allowBlank="1" showInputMessage="1" showErrorMessage="1" sqref="D13" xr:uid="{0F1D940A-2ACF-42A0-ADE8-ABDB9EA0A239}">
      <formula1>hier_CU_1</formula1>
    </dataValidation>
  </dataValidations>
  <pageMargins left="0.7" right="0.7" top="0.75" bottom="0.75" header="0.3" footer="0.3"/>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84DA6-C687-4C8E-8F8B-C2CA56F06386}">
  <sheetPr codeName="Blad193"/>
  <dimension ref="B2:O21"/>
  <sheetViews>
    <sheetView showGridLines="0" workbookViewId="0"/>
  </sheetViews>
  <sheetFormatPr defaultRowHeight="15"/>
  <cols>
    <col min="2" max="2" width="50.85546875" bestFit="1" customWidth="1"/>
    <col min="4" max="4" width="15.7109375" customWidth="1"/>
  </cols>
  <sheetData>
    <row r="2" spans="2:15" ht="23.25">
      <c r="B2" s="86" t="s">
        <v>803</v>
      </c>
      <c r="C2" s="87"/>
      <c r="D2" s="87"/>
      <c r="E2" s="87"/>
      <c r="F2" s="87"/>
      <c r="G2" s="87"/>
      <c r="H2" s="87"/>
      <c r="I2" s="87"/>
      <c r="J2" s="87"/>
      <c r="K2" s="87"/>
      <c r="L2" s="87"/>
      <c r="M2" s="87"/>
      <c r="N2" s="87"/>
      <c r="O2" s="87"/>
    </row>
    <row r="5" spans="2:15" ht="18.75">
      <c r="B5" s="88" t="s">
        <v>6016</v>
      </c>
      <c r="C5" s="87"/>
      <c r="D5" s="87"/>
      <c r="E5" s="87"/>
      <c r="F5" s="87"/>
      <c r="G5" s="87"/>
      <c r="H5" s="87"/>
      <c r="I5" s="87"/>
      <c r="J5" s="87"/>
      <c r="K5" s="87"/>
      <c r="L5" s="87"/>
    </row>
    <row r="9" spans="2:15">
      <c r="D9" s="89" t="s">
        <v>2877</v>
      </c>
    </row>
    <row r="10" spans="2:15">
      <c r="D10" s="91"/>
    </row>
    <row r="11" spans="2:15">
      <c r="D11" s="89" t="s">
        <v>6017</v>
      </c>
    </row>
    <row r="12" spans="2:15">
      <c r="D12" s="91"/>
    </row>
    <row r="13" spans="2:15">
      <c r="D13" s="45" t="s">
        <v>6009</v>
      </c>
      <c r="I13" s="13" t="str">
        <f>Show!$B$189&amp;"E.02.01.16.01 Rows {"&amp;COLUMN($C$1)&amp;"}"&amp;"@ForceFilingCode:true"</f>
        <v>!E.02.01.16.01 Rows {3}@ForceFilingCode:true</v>
      </c>
      <c r="J13" s="13" t="str">
        <f>Show!$B$189&amp;"E.02.01.16.01 Columns {"&amp;COLUMN($D$1)&amp;"}"</f>
        <v>!E.02.01.16.01 Columns {4}</v>
      </c>
    </row>
    <row r="14" spans="2:15">
      <c r="B14" s="43" t="s">
        <v>2880</v>
      </c>
      <c r="C14" s="44" t="s">
        <v>2878</v>
      </c>
      <c r="D14" s="46"/>
    </row>
    <row r="15" spans="2:15">
      <c r="B15" s="47" t="s">
        <v>2487</v>
      </c>
      <c r="C15" s="41" t="s">
        <v>6018</v>
      </c>
      <c r="D15" s="60"/>
    </row>
    <row r="16" spans="2:15">
      <c r="B16" s="49" t="s">
        <v>6019</v>
      </c>
      <c r="C16" s="41" t="s">
        <v>6020</v>
      </c>
      <c r="D16" s="60"/>
    </row>
    <row r="17" spans="2:10">
      <c r="B17" s="49" t="s">
        <v>6021</v>
      </c>
      <c r="C17" s="41" t="s">
        <v>3158</v>
      </c>
      <c r="D17" s="60"/>
    </row>
    <row r="18" spans="2:10">
      <c r="B18" s="49" t="s">
        <v>6022</v>
      </c>
      <c r="C18" s="41" t="s">
        <v>6023</v>
      </c>
      <c r="D18" s="60"/>
    </row>
    <row r="19" spans="2:10">
      <c r="B19" s="49" t="s">
        <v>6024</v>
      </c>
      <c r="C19" s="41" t="s">
        <v>6025</v>
      </c>
      <c r="D19" s="60"/>
    </row>
    <row r="21" spans="2:10">
      <c r="I21" s="13" t="str">
        <f>Show!$B$189&amp;Show!$B$189&amp;"E.02.01.16.01 Rows {"&amp;COLUMN($C$1)&amp;"}"</f>
        <v>!!E.02.01.16.01 Rows {3}</v>
      </c>
      <c r="J21" s="13" t="str">
        <f>Show!$B$189&amp;Show!$B$189&amp;"E.02.01.16.01 Columns {"&amp;COLUMN($D$1)&amp;"}"</f>
        <v>!!E.02.01.16.01 Columns {4}</v>
      </c>
    </row>
  </sheetData>
  <sheetProtection sheet="1" objects="1" scenarios="1"/>
  <mergeCells count="4">
    <mergeCell ref="B2:O2"/>
    <mergeCell ref="B5:L5"/>
    <mergeCell ref="D9:D10"/>
    <mergeCell ref="D11:D12"/>
  </mergeCells>
  <pageMargins left="0.7" right="0.7" top="0.75" bottom="0.75" header="0.3" footer="0.3"/>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5871E-8658-433F-BD52-F6645D76F9B4}">
  <sheetPr codeName="Blad194"/>
  <dimension ref="B2:O31"/>
  <sheetViews>
    <sheetView showGridLines="0" workbookViewId="0"/>
  </sheetViews>
  <sheetFormatPr defaultRowHeight="15"/>
  <cols>
    <col min="2" max="2" width="74.42578125" bestFit="1" customWidth="1"/>
    <col min="4" max="4" width="40.7109375" customWidth="1"/>
    <col min="5" max="5" width="15.7109375" customWidth="1"/>
  </cols>
  <sheetData>
    <row r="2" spans="2:15" ht="23.25">
      <c r="B2" s="86" t="s">
        <v>803</v>
      </c>
      <c r="C2" s="87"/>
      <c r="D2" s="87"/>
      <c r="E2" s="87"/>
      <c r="F2" s="87"/>
      <c r="G2" s="87"/>
      <c r="H2" s="87"/>
      <c r="I2" s="87"/>
      <c r="J2" s="87"/>
      <c r="K2" s="87"/>
      <c r="L2" s="87"/>
      <c r="M2" s="87"/>
      <c r="N2" s="87"/>
      <c r="O2" s="87"/>
    </row>
    <row r="5" spans="2:15" ht="18.75">
      <c r="B5" s="88" t="s">
        <v>6026</v>
      </c>
      <c r="C5" s="87"/>
      <c r="D5" s="87"/>
      <c r="E5" s="87"/>
      <c r="F5" s="87"/>
      <c r="G5" s="87"/>
      <c r="H5" s="87"/>
      <c r="I5" s="87"/>
      <c r="J5" s="87"/>
      <c r="K5" s="87"/>
      <c r="L5" s="87"/>
    </row>
    <row r="9" spans="2:15">
      <c r="D9" s="89" t="s">
        <v>2877</v>
      </c>
    </row>
    <row r="10" spans="2:15">
      <c r="D10" s="91"/>
    </row>
    <row r="11" spans="2:15">
      <c r="D11" s="55" t="s">
        <v>3746</v>
      </c>
    </row>
    <row r="12" spans="2:15">
      <c r="D12" s="45" t="s">
        <v>6011</v>
      </c>
      <c r="L12" s="13" t="str">
        <f>Show!$B$190&amp;"E.03.01.16.01 Rows {"&amp;COLUMN($C$1)&amp;"}"&amp;"@ForceFilingCode:true"</f>
        <v>!E.03.01.16.01 Rows {3}@ForceFilingCode:true</v>
      </c>
      <c r="M12" s="13" t="str">
        <f>Show!$B$190&amp;"E.03.01.16.01 Columns {"&amp;COLUMN($D$1)&amp;"}"</f>
        <v>!E.03.01.16.01 Columns {4}</v>
      </c>
    </row>
    <row r="13" spans="2:15">
      <c r="B13" s="43" t="s">
        <v>2880</v>
      </c>
      <c r="C13" s="44" t="s">
        <v>2878</v>
      </c>
      <c r="D13" s="46"/>
    </row>
    <row r="14" spans="2:15">
      <c r="B14" s="47" t="s">
        <v>3559</v>
      </c>
      <c r="C14" s="41" t="s">
        <v>6018</v>
      </c>
      <c r="D14" s="60"/>
    </row>
    <row r="15" spans="2:15">
      <c r="B15" s="47" t="s">
        <v>3791</v>
      </c>
      <c r="C15" s="41" t="s">
        <v>6020</v>
      </c>
      <c r="D15" s="60"/>
    </row>
    <row r="16" spans="2:15">
      <c r="B16" s="47" t="s">
        <v>3792</v>
      </c>
      <c r="C16" s="41" t="s">
        <v>3158</v>
      </c>
      <c r="D16" s="60"/>
    </row>
    <row r="18" spans="2:13">
      <c r="L18" s="13" t="str">
        <f>Show!$B$190&amp;Show!$B$190&amp;"E.03.01.16.01 Rows {"&amp;COLUMN($C$1)&amp;"}"</f>
        <v>!!E.03.01.16.01 Rows {3}</v>
      </c>
      <c r="M18" s="13" t="str">
        <f>Show!$B$190&amp;Show!$B$190&amp;"E.03.01.16.01 Columns {"&amp;COLUMN($D$1)&amp;"}"</f>
        <v>!!E.03.01.16.01 Columns {4}</v>
      </c>
    </row>
    <row r="20" spans="2:13" ht="18.75">
      <c r="B20" s="88" t="s">
        <v>6027</v>
      </c>
      <c r="C20" s="87"/>
      <c r="D20" s="87"/>
      <c r="E20" s="87"/>
      <c r="F20" s="87"/>
      <c r="G20" s="87"/>
      <c r="H20" s="87"/>
      <c r="I20" s="87"/>
      <c r="J20" s="87"/>
      <c r="K20" s="87"/>
      <c r="L20" s="87"/>
    </row>
    <row r="24" spans="2:13">
      <c r="D24" s="89" t="s">
        <v>56</v>
      </c>
      <c r="E24" s="89" t="s">
        <v>2877</v>
      </c>
    </row>
    <row r="25" spans="2:13">
      <c r="D25" s="90"/>
      <c r="E25" s="91"/>
    </row>
    <row r="26" spans="2:13" ht="30">
      <c r="D26" s="91"/>
      <c r="E26" s="55" t="s">
        <v>3746</v>
      </c>
    </row>
    <row r="27" spans="2:13">
      <c r="D27" s="45" t="s">
        <v>6009</v>
      </c>
      <c r="E27" s="45" t="s">
        <v>6011</v>
      </c>
      <c r="L27" s="13" t="str">
        <f>Show!$B$190&amp;"E.03.01.16.02 Rows {"&amp;COLUMN($C$1)&amp;"}"&amp;"@ForceFilingCode:true"</f>
        <v>!E.03.01.16.02 Rows {3}@ForceFilingCode:true</v>
      </c>
      <c r="M27" s="13" t="str">
        <f>Show!$B$190&amp;"E.03.01.16.02 Columns {"&amp;COLUMN($D$1)&amp;"}"</f>
        <v>!E.03.01.16.02 Columns {4}</v>
      </c>
    </row>
    <row r="28" spans="2:13">
      <c r="B28" s="43" t="s">
        <v>2880</v>
      </c>
      <c r="C28" s="44" t="s">
        <v>2878</v>
      </c>
      <c r="D28" s="56"/>
      <c r="E28" s="57"/>
    </row>
    <row r="29" spans="2:13">
      <c r="B29" s="47" t="s">
        <v>3794</v>
      </c>
      <c r="C29" s="41" t="s">
        <v>6023</v>
      </c>
      <c r="D29" s="51"/>
      <c r="E29" s="60"/>
    </row>
    <row r="31" spans="2:13">
      <c r="L31" s="13" t="str">
        <f>Show!$B$190&amp;Show!$B$190&amp;"E.03.01.16.02 Rows {"&amp;COLUMN($C$1)&amp;"}"</f>
        <v>!!E.03.01.16.02 Rows {3}</v>
      </c>
      <c r="M31" s="13" t="str">
        <f>Show!$B$190&amp;Show!$B$190&amp;"E.03.01.16.02 Columns {"&amp;COLUMN($E$1)&amp;"}"</f>
        <v>!!E.03.01.16.02 Columns {5}</v>
      </c>
    </row>
  </sheetData>
  <sheetProtection sheet="1" objects="1" scenarios="1"/>
  <mergeCells count="6">
    <mergeCell ref="B2:O2"/>
    <mergeCell ref="B5:L5"/>
    <mergeCell ref="D9:D10"/>
    <mergeCell ref="B20:L20"/>
    <mergeCell ref="D24:D26"/>
    <mergeCell ref="E24:E25"/>
  </mergeCells>
  <dataValidations count="1">
    <dataValidation type="list" errorStyle="warning" allowBlank="1" showInputMessage="1" showErrorMessage="1" sqref="D29" xr:uid="{5353AE02-27B9-4C18-9057-94D38793AB24}">
      <formula1>hier_GA_18</formula1>
    </dataValidation>
  </dataValidations>
  <pageMargins left="0.7" right="0.7" top="0.75" bottom="0.75" header="0.3" footer="0.3"/>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A5ECD-37F6-407B-B26E-9F8EB4D6E92B}">
  <sheetPr codeName="Blad195"/>
  <dimension ref="B2:O22"/>
  <sheetViews>
    <sheetView showGridLines="0" workbookViewId="0"/>
  </sheetViews>
  <sheetFormatPr defaultRowHeight="15"/>
  <cols>
    <col min="2" max="2" width="49.85546875" bestFit="1" customWidth="1"/>
    <col min="4" max="4" width="40.7109375" customWidth="1"/>
  </cols>
  <sheetData>
    <row r="2" spans="2:15" ht="23.25">
      <c r="B2" s="86" t="s">
        <v>512</v>
      </c>
      <c r="C2" s="87"/>
      <c r="D2" s="87"/>
      <c r="E2" s="87"/>
      <c r="F2" s="87"/>
      <c r="G2" s="87"/>
      <c r="H2" s="87"/>
      <c r="I2" s="87"/>
      <c r="J2" s="87"/>
      <c r="K2" s="87"/>
      <c r="L2" s="87"/>
      <c r="M2" s="87"/>
      <c r="N2" s="87"/>
      <c r="O2" s="87"/>
    </row>
    <row r="5" spans="2:15" ht="18.75">
      <c r="B5" s="88" t="s">
        <v>6028</v>
      </c>
      <c r="C5" s="87"/>
      <c r="D5" s="87"/>
      <c r="E5" s="87"/>
      <c r="F5" s="87"/>
      <c r="G5" s="87"/>
      <c r="H5" s="87"/>
      <c r="I5" s="87"/>
      <c r="J5" s="87"/>
      <c r="K5" s="87"/>
      <c r="L5" s="87"/>
    </row>
    <row r="9" spans="2:15">
      <c r="D9" s="89" t="s">
        <v>2877</v>
      </c>
    </row>
    <row r="10" spans="2:15">
      <c r="D10" s="90"/>
    </row>
    <row r="11" spans="2:15">
      <c r="D11" s="90"/>
    </row>
    <row r="12" spans="2:15">
      <c r="D12" s="91"/>
    </row>
    <row r="13" spans="2:15">
      <c r="D13" s="45" t="s">
        <v>2879</v>
      </c>
      <c r="I13" s="13" t="str">
        <f>IF(COUNTIF(D:D,"Reported")&gt;0,Show!$B$191,"!")&amp;"SPV.01.01.20.01 Rows {"&amp;COLUMN($C$1)&amp;"}"&amp;"@ForceFilingCode:true"</f>
        <v>!SPV.01.01.20.01 Rows {3}@ForceFilingCode:true</v>
      </c>
      <c r="J13" s="13" t="str">
        <f>IF(COUNTIF(D:D,"Reported")&gt;0,Show!$B$191,"!")&amp;"SPV.01.01.20.01 Columns {"&amp;COLUMN($D$1)&amp;"}"</f>
        <v>!SPV.01.01.20.01 Columns {4}</v>
      </c>
    </row>
    <row r="14" spans="2:15">
      <c r="B14" s="43" t="s">
        <v>2880</v>
      </c>
      <c r="C14" s="44" t="s">
        <v>2878</v>
      </c>
      <c r="D14" s="48"/>
    </row>
    <row r="15" spans="2:15">
      <c r="B15" s="47" t="s">
        <v>2881</v>
      </c>
      <c r="C15" s="44" t="s">
        <v>2878</v>
      </c>
      <c r="D15" s="46"/>
    </row>
    <row r="16" spans="2:15">
      <c r="B16" s="52" t="s">
        <v>6029</v>
      </c>
      <c r="C16" s="41" t="s">
        <v>2883</v>
      </c>
      <c r="D16" s="51"/>
    </row>
    <row r="17" spans="2:10">
      <c r="B17" s="52" t="s">
        <v>6030</v>
      </c>
      <c r="C17" s="41" t="s">
        <v>2885</v>
      </c>
      <c r="D17" s="51"/>
    </row>
    <row r="18" spans="2:10">
      <c r="B18" s="52" t="s">
        <v>6031</v>
      </c>
      <c r="C18" s="41" t="s">
        <v>2887</v>
      </c>
      <c r="D18" s="51"/>
    </row>
    <row r="19" spans="2:10">
      <c r="B19" s="52" t="s">
        <v>6032</v>
      </c>
      <c r="C19" s="41" t="s">
        <v>2889</v>
      </c>
      <c r="D19" s="51"/>
    </row>
    <row r="20" spans="2:10">
      <c r="B20" s="52" t="s">
        <v>6033</v>
      </c>
      <c r="C20" s="41" t="s">
        <v>3078</v>
      </c>
      <c r="D20" s="51"/>
    </row>
    <row r="22" spans="2:10">
      <c r="I22" s="13" t="str">
        <f>IF(COUNTIF(D:D,"Reported")&gt;0,Show!$B$191&amp;Show!$B$191,"!!")&amp;"SPV.01.01.20.01 Rows {"&amp;COLUMN($C$1)&amp;"}"</f>
        <v>!!SPV.01.01.20.01 Rows {3}</v>
      </c>
      <c r="J22" s="13" t="str">
        <f>IF(COUNTIF(D:D,"Reported")&gt;0,Show!$B$191&amp;Show!$B$191,"!!")&amp;"SPV.01.01.20.01 Columns {"&amp;COLUMN($D$1)&amp;"}"</f>
        <v>!!SPV.01.01.20.01 Columns {4}</v>
      </c>
    </row>
  </sheetData>
  <sheetProtection sheet="1" objects="1" scenarios="1"/>
  <mergeCells count="3">
    <mergeCell ref="B2:O2"/>
    <mergeCell ref="B5:L5"/>
    <mergeCell ref="D9:D12"/>
  </mergeCells>
  <dataValidations count="3">
    <dataValidation type="list" errorStyle="warning" allowBlank="1" showInputMessage="1" showErrorMessage="1" sqref="D16" xr:uid="{716A5758-6E16-4273-9F57-BE348D878E91}">
      <formula1>hier_CN_2</formula1>
    </dataValidation>
    <dataValidation type="list" errorStyle="warning" allowBlank="1" showInputMessage="1" showErrorMessage="1" sqref="D17 D19 D20" xr:uid="{31531990-FB57-4C53-A6F2-36D607738573}">
      <formula1>hier_CN_1</formula1>
    </dataValidation>
    <dataValidation type="list" errorStyle="warning" allowBlank="1" showInputMessage="1" showErrorMessage="1" sqref="D18" xr:uid="{EBBD1BBD-E0C0-44D9-9B5B-77685932D37A}">
      <formula1>hier_CN_20</formula1>
    </dataValidation>
  </dataValidations>
  <hyperlinks>
    <hyperlink ref="B16" location="'SPV.01.02.20'!A1" display="SPV.01.02.20 - Basic Information" xr:uid="{B0727C5C-F2D6-4D5B-9FE2-C87CF3AC7489}"/>
    <hyperlink ref="B17" location="'SPV.02.01.20'!A1" display="SPV.02.01.20 - Balance sheet" xr:uid="{3B38E8CF-0A17-4E96-BF0C-2CBDEE25AFC5}"/>
    <hyperlink ref="B18" location="'SPV.02.02.20'!A1" display="SPV.02.02.20 - Off-balance sheet" xr:uid="{84E7BCF8-3A2C-458F-BCBE-76837BE6C2D7}"/>
    <hyperlink ref="B19" location="'SPV.03.01.20'!A1" display="SPV.03.01.20 - Risks assumed" xr:uid="{71CDCD25-57BA-4F87-A143-05C97A73248E}"/>
    <hyperlink ref="B20" location="'SPV.03.02.20'!A1" display="SPV.03.02.20 - Debt or other financing mechanism" xr:uid="{00741A8C-FB4C-4DF7-B037-771DF19B94B7}"/>
  </hyperlinks>
  <pageMargins left="0.7" right="0.7" top="0.75" bottom="0.75" header="0.3" footer="0.3"/>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17E12-86CF-4AEC-BE1B-7B2EAFD84EAE}">
  <sheetPr codeName="Blad196"/>
  <dimension ref="B2:O26"/>
  <sheetViews>
    <sheetView showGridLines="0" workbookViewId="0"/>
  </sheetViews>
  <sheetFormatPr defaultRowHeight="15"/>
  <cols>
    <col min="2" max="2" width="72.42578125" bestFit="1" customWidth="1"/>
    <col min="4" max="4" width="40.7109375" customWidth="1"/>
  </cols>
  <sheetData>
    <row r="2" spans="2:15" ht="23.25">
      <c r="B2" s="86" t="s">
        <v>807</v>
      </c>
      <c r="C2" s="87"/>
      <c r="D2" s="87"/>
      <c r="E2" s="87"/>
      <c r="F2" s="87"/>
      <c r="G2" s="87"/>
      <c r="H2" s="87"/>
      <c r="I2" s="87"/>
      <c r="J2" s="87"/>
      <c r="K2" s="87"/>
      <c r="L2" s="87"/>
      <c r="M2" s="87"/>
      <c r="N2" s="87"/>
      <c r="O2" s="87"/>
    </row>
    <row r="5" spans="2:15" ht="18.75">
      <c r="B5" s="88" t="s">
        <v>6034</v>
      </c>
      <c r="C5" s="87"/>
      <c r="D5" s="87"/>
      <c r="E5" s="87"/>
      <c r="F5" s="87"/>
      <c r="G5" s="87"/>
      <c r="H5" s="87"/>
      <c r="I5" s="87"/>
      <c r="J5" s="87"/>
      <c r="K5" s="87"/>
      <c r="L5" s="87"/>
    </row>
    <row r="9" spans="2:15">
      <c r="D9" s="89" t="s">
        <v>2877</v>
      </c>
    </row>
    <row r="10" spans="2:15">
      <c r="D10" s="90"/>
    </row>
    <row r="11" spans="2:15">
      <c r="D11" s="91"/>
    </row>
    <row r="12" spans="2:15">
      <c r="D12" s="45" t="s">
        <v>2879</v>
      </c>
      <c r="I12" s="13" t="str">
        <f>Show!$B$192&amp;"SPV.01.02.20.01 Rows {"&amp;COLUMN($C$1)&amp;"}"&amp;"@ForceFilingCode:true"</f>
        <v>!SPV.01.02.20.01 Rows {3}@ForceFilingCode:true</v>
      </c>
      <c r="J12" s="13" t="str">
        <f>Show!$B$192&amp;"SPV.01.02.20.01 Columns {"&amp;COLUMN($D$1)&amp;"}"</f>
        <v>!SPV.01.02.20.01 Columns {4}</v>
      </c>
    </row>
    <row r="13" spans="2:15">
      <c r="B13" s="43" t="s">
        <v>2880</v>
      </c>
      <c r="C13" s="44" t="s">
        <v>2878</v>
      </c>
      <c r="D13" s="46"/>
    </row>
    <row r="14" spans="2:15">
      <c r="B14" s="47" t="s">
        <v>6035</v>
      </c>
      <c r="C14" s="41" t="s">
        <v>2883</v>
      </c>
      <c r="D14" s="51"/>
    </row>
    <row r="15" spans="2:15">
      <c r="B15" s="47" t="s">
        <v>6036</v>
      </c>
      <c r="C15" s="41" t="s">
        <v>2885</v>
      </c>
      <c r="D15" s="51"/>
    </row>
    <row r="16" spans="2:15">
      <c r="B16" s="47" t="s">
        <v>6037</v>
      </c>
      <c r="C16" s="41" t="s">
        <v>2889</v>
      </c>
      <c r="D16" s="51"/>
    </row>
    <row r="17" spans="2:10">
      <c r="B17" s="47" t="s">
        <v>6038</v>
      </c>
      <c r="C17" s="41" t="s">
        <v>3078</v>
      </c>
      <c r="D17" s="54"/>
    </row>
    <row r="18" spans="2:10">
      <c r="B18" s="47" t="s">
        <v>6039</v>
      </c>
      <c r="C18" s="41" t="s">
        <v>2891</v>
      </c>
      <c r="D18" s="54"/>
    </row>
    <row r="19" spans="2:10">
      <c r="B19" s="47" t="s">
        <v>3186</v>
      </c>
      <c r="C19" s="41" t="s">
        <v>2893</v>
      </c>
      <c r="D19" s="51"/>
    </row>
    <row r="20" spans="2:10">
      <c r="B20" s="47" t="s">
        <v>6040</v>
      </c>
      <c r="C20" s="41" t="s">
        <v>2895</v>
      </c>
      <c r="D20" s="50"/>
    </row>
    <row r="21" spans="2:10">
      <c r="B21" s="47" t="s">
        <v>6041</v>
      </c>
      <c r="C21" s="41" t="s">
        <v>2897</v>
      </c>
      <c r="D21" s="51"/>
    </row>
    <row r="22" spans="2:10">
      <c r="B22" s="47" t="s">
        <v>3199</v>
      </c>
      <c r="C22" s="41" t="s">
        <v>3200</v>
      </c>
      <c r="D22" s="51"/>
    </row>
    <row r="23" spans="2:10">
      <c r="B23" s="47" t="s">
        <v>3201</v>
      </c>
      <c r="C23" s="41" t="s">
        <v>3202</v>
      </c>
      <c r="D23" s="51"/>
    </row>
    <row r="24" spans="2:10">
      <c r="B24" s="47" t="s">
        <v>3203</v>
      </c>
      <c r="C24" s="41" t="s">
        <v>3204</v>
      </c>
      <c r="D24" s="51"/>
    </row>
    <row r="26" spans="2:10">
      <c r="I26" s="13" t="str">
        <f>Show!$B$192&amp;Show!$B$192&amp;"SPV.01.02.20.01 Rows {"&amp;COLUMN($C$1)&amp;"}"</f>
        <v>!!SPV.01.02.20.01 Rows {3}</v>
      </c>
      <c r="J26" s="13" t="str">
        <f>Show!$B$192&amp;Show!$B$192&amp;"SPV.01.02.20.01 Columns {"&amp;COLUMN($D$1)&amp;"}"</f>
        <v>!!SPV.01.02.20.01 Columns {4}</v>
      </c>
    </row>
  </sheetData>
  <sheetProtection sheet="1" objects="1" scenarios="1"/>
  <mergeCells count="3">
    <mergeCell ref="B2:O2"/>
    <mergeCell ref="B5:L5"/>
    <mergeCell ref="D9:D11"/>
  </mergeCells>
  <dataValidations count="4">
    <dataValidation type="list" errorStyle="warning" allowBlank="1" showInputMessage="1" showErrorMessage="1" sqref="D16" xr:uid="{E453B11F-0391-49D6-A806-09F5F7A92E81}">
      <formula1>hier_GA_5</formula1>
    </dataValidation>
    <dataValidation type="date" operator="greaterThan" allowBlank="1" showInputMessage="1" showErrorMessage="1" errorTitle="Date value" error="This cell can only contain dates" sqref="D17:D18" xr:uid="{F7216392-AAE8-43CD-94CB-FAAE1E878FFB}">
      <formula1>1</formula1>
    </dataValidation>
    <dataValidation type="list" errorStyle="warning" allowBlank="1" showInputMessage="1" showErrorMessage="1" sqref="D19" xr:uid="{24D78D29-952C-4883-9B69-E6FEDCE10F3A}">
      <formula1>hier_CU_5</formula1>
    </dataValidation>
    <dataValidation type="list" errorStyle="warning" allowBlank="1" showInputMessage="1" showErrorMessage="1" sqref="D21" xr:uid="{AECD7EB7-6B8A-44D9-95FE-576805EE6AB2}">
      <formula1>hier_AP_15</formula1>
    </dataValidation>
  </dataValidations>
  <pageMargins left="0.7" right="0.7" top="0.75" bottom="0.75" header="0.3" footer="0.3"/>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921D6-1E4F-48EC-8A48-4C4ED9C8BB5B}">
  <sheetPr codeName="Blad197"/>
  <dimension ref="B2:O72"/>
  <sheetViews>
    <sheetView showGridLines="0" workbookViewId="0"/>
  </sheetViews>
  <sheetFormatPr defaultRowHeight="15"/>
  <cols>
    <col min="2" max="2" width="44.7109375" bestFit="1" customWidth="1"/>
    <col min="3" max="4" width="15.7109375" customWidth="1"/>
  </cols>
  <sheetData>
    <row r="2" spans="2:15" ht="23.25">
      <c r="B2" s="86" t="s">
        <v>544</v>
      </c>
      <c r="C2" s="87"/>
      <c r="D2" s="87"/>
      <c r="E2" s="87"/>
      <c r="F2" s="87"/>
      <c r="G2" s="87"/>
      <c r="H2" s="87"/>
      <c r="I2" s="87"/>
      <c r="J2" s="87"/>
      <c r="K2" s="87"/>
      <c r="L2" s="87"/>
      <c r="M2" s="87"/>
      <c r="N2" s="87"/>
      <c r="O2" s="87"/>
    </row>
    <row r="5" spans="2:15" ht="18.75">
      <c r="B5" s="88" t="s">
        <v>6042</v>
      </c>
      <c r="C5" s="87"/>
      <c r="D5" s="87"/>
      <c r="E5" s="87"/>
      <c r="F5" s="87"/>
      <c r="G5" s="87"/>
      <c r="H5" s="87"/>
      <c r="I5" s="87"/>
      <c r="J5" s="87"/>
      <c r="K5" s="87"/>
      <c r="L5" s="87"/>
    </row>
    <row r="9" spans="2:15">
      <c r="D9" s="89" t="s">
        <v>2877</v>
      </c>
    </row>
    <row r="10" spans="2:15">
      <c r="D10" s="91"/>
    </row>
    <row r="11" spans="2:15">
      <c r="D11" s="89" t="s">
        <v>3250</v>
      </c>
    </row>
    <row r="12" spans="2:15">
      <c r="D12" s="91"/>
    </row>
    <row r="13" spans="2:15">
      <c r="D13" s="45" t="s">
        <v>2879</v>
      </c>
      <c r="K13" s="13" t="str">
        <f>Show!$B$193&amp;"SPV.02.01.20.01 Rows {"&amp;COLUMN($C$1)&amp;"}"&amp;"@ForceFilingCode:true"</f>
        <v>!SPV.02.01.20.01 Rows {3}@ForceFilingCode:true</v>
      </c>
      <c r="L13" s="13" t="str">
        <f>Show!$B$193&amp;"SPV.02.01.20.01 Columns {"&amp;COLUMN($D$1)&amp;"}"</f>
        <v>!SPV.02.01.20.01 Columns {4}</v>
      </c>
    </row>
    <row r="14" spans="2:15">
      <c r="B14" s="43" t="s">
        <v>2880</v>
      </c>
      <c r="C14" s="44" t="s">
        <v>2878</v>
      </c>
      <c r="D14" s="48"/>
    </row>
    <row r="15" spans="2:15">
      <c r="B15" s="47" t="s">
        <v>3252</v>
      </c>
      <c r="C15" s="44" t="s">
        <v>2878</v>
      </c>
      <c r="D15" s="46"/>
    </row>
    <row r="16" spans="2:15">
      <c r="B16" s="49" t="s">
        <v>6043</v>
      </c>
      <c r="C16" s="41" t="s">
        <v>2883</v>
      </c>
      <c r="D16" s="60"/>
    </row>
    <row r="17" spans="2:4">
      <c r="B17" s="49" t="s">
        <v>6044</v>
      </c>
      <c r="C17" s="41" t="s">
        <v>2885</v>
      </c>
      <c r="D17" s="60"/>
    </row>
    <row r="18" spans="2:4">
      <c r="B18" s="49" t="s">
        <v>6045</v>
      </c>
      <c r="C18" s="41" t="s">
        <v>2887</v>
      </c>
      <c r="D18" s="60"/>
    </row>
    <row r="19" spans="2:4">
      <c r="B19" s="49" t="s">
        <v>6046</v>
      </c>
      <c r="C19" s="41" t="s">
        <v>2889</v>
      </c>
      <c r="D19" s="60"/>
    </row>
    <row r="20" spans="2:4">
      <c r="B20" s="49" t="s">
        <v>6047</v>
      </c>
      <c r="C20" s="41" t="s">
        <v>3078</v>
      </c>
      <c r="D20" s="60"/>
    </row>
    <row r="21" spans="2:4">
      <c r="B21" s="49" t="s">
        <v>6048</v>
      </c>
      <c r="C21" s="41" t="s">
        <v>2891</v>
      </c>
      <c r="D21" s="60"/>
    </row>
    <row r="22" spans="2:4">
      <c r="B22" s="49" t="s">
        <v>6049</v>
      </c>
      <c r="C22" s="41" t="s">
        <v>2893</v>
      </c>
      <c r="D22" s="60"/>
    </row>
    <row r="23" spans="2:4">
      <c r="B23" s="49" t="s">
        <v>6050</v>
      </c>
      <c r="C23" s="41" t="s">
        <v>2895</v>
      </c>
      <c r="D23" s="60"/>
    </row>
    <row r="24" spans="2:4">
      <c r="B24" s="49" t="s">
        <v>6051</v>
      </c>
      <c r="C24" s="41" t="s">
        <v>2897</v>
      </c>
      <c r="D24" s="60"/>
    </row>
    <row r="25" spans="2:4">
      <c r="B25" s="49" t="s">
        <v>3288</v>
      </c>
      <c r="C25" s="41" t="s">
        <v>2899</v>
      </c>
      <c r="D25" s="63"/>
    </row>
    <row r="26" spans="2:4">
      <c r="B26" s="47" t="s">
        <v>2389</v>
      </c>
      <c r="C26" s="44" t="s">
        <v>2878</v>
      </c>
      <c r="D26" s="46"/>
    </row>
    <row r="27" spans="2:4">
      <c r="B27" s="49" t="s">
        <v>6052</v>
      </c>
      <c r="C27" s="41" t="s">
        <v>2901</v>
      </c>
      <c r="D27" s="60"/>
    </row>
    <row r="28" spans="2:4">
      <c r="B28" s="49" t="s">
        <v>6053</v>
      </c>
      <c r="C28" s="41" t="s">
        <v>2903</v>
      </c>
      <c r="D28" s="60"/>
    </row>
    <row r="29" spans="2:4">
      <c r="B29" s="49" t="s">
        <v>6048</v>
      </c>
      <c r="C29" s="41" t="s">
        <v>2905</v>
      </c>
      <c r="D29" s="60"/>
    </row>
    <row r="30" spans="2:4">
      <c r="B30" s="49" t="s">
        <v>6054</v>
      </c>
      <c r="C30" s="41" t="s">
        <v>2907</v>
      </c>
      <c r="D30" s="60"/>
    </row>
    <row r="31" spans="2:4">
      <c r="B31" s="49" t="s">
        <v>6055</v>
      </c>
      <c r="C31" s="41" t="s">
        <v>2909</v>
      </c>
      <c r="D31" s="60"/>
    </row>
    <row r="32" spans="2:4">
      <c r="B32" s="49" t="s">
        <v>6056</v>
      </c>
      <c r="C32" s="41" t="s">
        <v>2911</v>
      </c>
      <c r="D32" s="63"/>
    </row>
    <row r="33" spans="2:12">
      <c r="B33" s="47" t="s">
        <v>3578</v>
      </c>
      <c r="C33" s="44" t="s">
        <v>2878</v>
      </c>
      <c r="D33" s="46"/>
    </row>
    <row r="34" spans="2:12">
      <c r="B34" s="49" t="s">
        <v>6057</v>
      </c>
      <c r="C34" s="41" t="s">
        <v>2915</v>
      </c>
      <c r="D34" s="60"/>
    </row>
    <row r="36" spans="2:12">
      <c r="K36" s="13" t="str">
        <f>Show!$B$193&amp;Show!$B$193&amp;"SPV.02.01.20.01 Rows {"&amp;COLUMN($C$1)&amp;"}"</f>
        <v>!!SPV.02.01.20.01 Rows {3}</v>
      </c>
      <c r="L36" s="13" t="str">
        <f>Show!$B$193&amp;Show!$B$193&amp;"SPV.02.01.20.01 Columns {"&amp;COLUMN($D$1)&amp;"}"</f>
        <v>!!SPV.02.01.20.01 Columns {4}</v>
      </c>
    </row>
    <row r="38" spans="2:12" ht="18.75">
      <c r="B38" s="88" t="s">
        <v>6058</v>
      </c>
      <c r="C38" s="87"/>
      <c r="D38" s="87"/>
      <c r="E38" s="87"/>
      <c r="F38" s="87"/>
      <c r="G38" s="87"/>
      <c r="H38" s="87"/>
      <c r="I38" s="87"/>
      <c r="J38" s="87"/>
      <c r="K38" s="87"/>
      <c r="L38" s="87"/>
    </row>
    <row r="42" spans="2:12">
      <c r="B42" s="89" t="s">
        <v>6059</v>
      </c>
      <c r="C42" s="89" t="s">
        <v>2877</v>
      </c>
    </row>
    <row r="43" spans="2:12">
      <c r="B43" s="90"/>
      <c r="C43" s="91"/>
    </row>
    <row r="44" spans="2:12">
      <c r="B44" s="91"/>
      <c r="C44" s="55" t="s">
        <v>4635</v>
      </c>
    </row>
    <row r="45" spans="2:12">
      <c r="B45" s="42" t="s">
        <v>3219</v>
      </c>
      <c r="C45" s="42" t="s">
        <v>2879</v>
      </c>
      <c r="K45" s="13" t="str">
        <f>Show!$B$193&amp;"SPV.02.01.20.02 Rows {"&amp;COLUMN($B$1)&amp;"}"&amp;"@ForceFilingCode:true"</f>
        <v>!SPV.02.01.20.02 Rows {2}@ForceFilingCode:true</v>
      </c>
      <c r="L45" s="13" t="str">
        <f>Show!$B$193&amp;"SPV.02.01.20.02 Columns {"&amp;COLUMN($B$1)&amp;"}"</f>
        <v>!SPV.02.01.20.02 Columns {2}</v>
      </c>
    </row>
    <row r="46" spans="2:12">
      <c r="B46" s="50"/>
      <c r="C46" s="60"/>
    </row>
    <row r="48" spans="2:12">
      <c r="K48" s="13" t="str">
        <f>Show!$B$193&amp;Show!$B$193&amp;"SPV.02.01.20.02 Rows {"&amp;COLUMN($B$1)&amp;"}"</f>
        <v>!!SPV.02.01.20.02 Rows {2}</v>
      </c>
      <c r="L48" s="13" t="str">
        <f>Show!$B$193&amp;Show!$B$193&amp;"SPV.02.01.20.02 Columns {"&amp;COLUMN($C$1)&amp;"}"</f>
        <v>!!SPV.02.01.20.02 Columns {3}</v>
      </c>
    </row>
    <row r="50" spans="2:12" ht="18.75">
      <c r="B50" s="88" t="s">
        <v>6060</v>
      </c>
      <c r="C50" s="87"/>
      <c r="D50" s="87"/>
      <c r="E50" s="87"/>
      <c r="F50" s="87"/>
      <c r="G50" s="87"/>
      <c r="H50" s="87"/>
      <c r="I50" s="87"/>
      <c r="J50" s="87"/>
      <c r="K50" s="87"/>
      <c r="L50" s="87"/>
    </row>
    <row r="54" spans="2:12">
      <c r="B54" s="89" t="s">
        <v>6061</v>
      </c>
      <c r="C54" s="89" t="s">
        <v>2877</v>
      </c>
    </row>
    <row r="55" spans="2:12">
      <c r="B55" s="90"/>
      <c r="C55" s="91"/>
    </row>
    <row r="56" spans="2:12">
      <c r="B56" s="91"/>
      <c r="C56" s="55" t="s">
        <v>4635</v>
      </c>
    </row>
    <row r="57" spans="2:12">
      <c r="B57" s="42" t="s">
        <v>3219</v>
      </c>
      <c r="C57" s="42" t="s">
        <v>2879</v>
      </c>
      <c r="K57" s="13" t="str">
        <f>Show!$B$193&amp;"SPV.02.01.20.03 Rows {"&amp;COLUMN($B$1)&amp;"}"&amp;"@ForceFilingCode:true"</f>
        <v>!SPV.02.01.20.03 Rows {2}@ForceFilingCode:true</v>
      </c>
      <c r="L57" s="13" t="str">
        <f>Show!$B$193&amp;"SPV.02.01.20.03 Columns {"&amp;COLUMN($B$1)&amp;"}"</f>
        <v>!SPV.02.01.20.03 Columns {2}</v>
      </c>
    </row>
    <row r="58" spans="2:12">
      <c r="B58" s="50"/>
      <c r="C58" s="60"/>
    </row>
    <row r="60" spans="2:12">
      <c r="K60" s="13" t="str">
        <f>Show!$B$193&amp;Show!$B$193&amp;"SPV.02.01.20.03 Rows {"&amp;COLUMN($B$1)&amp;"}"</f>
        <v>!!SPV.02.01.20.03 Rows {2}</v>
      </c>
      <c r="L60" s="13" t="str">
        <f>Show!$B$193&amp;Show!$B$193&amp;"SPV.02.01.20.03 Columns {"&amp;COLUMN($C$1)&amp;"}"</f>
        <v>!!SPV.02.01.20.03 Columns {3}</v>
      </c>
    </row>
    <row r="62" spans="2:12" ht="18.75">
      <c r="B62" s="88" t="s">
        <v>6062</v>
      </c>
      <c r="C62" s="87"/>
      <c r="D62" s="87"/>
      <c r="E62" s="87"/>
      <c r="F62" s="87"/>
      <c r="G62" s="87"/>
      <c r="H62" s="87"/>
      <c r="I62" s="87"/>
      <c r="J62" s="87"/>
      <c r="K62" s="87"/>
      <c r="L62" s="87"/>
    </row>
    <row r="66" spans="2:12">
      <c r="B66" s="89" t="s">
        <v>6063</v>
      </c>
      <c r="C66" s="89" t="s">
        <v>2877</v>
      </c>
    </row>
    <row r="67" spans="2:12">
      <c r="B67" s="90"/>
      <c r="C67" s="91"/>
    </row>
    <row r="68" spans="2:12">
      <c r="B68" s="91"/>
      <c r="C68" s="55" t="s">
        <v>4635</v>
      </c>
    </row>
    <row r="69" spans="2:12">
      <c r="B69" s="42" t="s">
        <v>3219</v>
      </c>
      <c r="C69" s="42" t="s">
        <v>2879</v>
      </c>
      <c r="K69" s="13" t="str">
        <f>Show!$B$193&amp;"SPV.02.01.20.04 Rows {"&amp;COLUMN($B$1)&amp;"}"&amp;"@ForceFilingCode:true"</f>
        <v>!SPV.02.01.20.04 Rows {2}@ForceFilingCode:true</v>
      </c>
      <c r="L69" s="13" t="str">
        <f>Show!$B$193&amp;"SPV.02.01.20.04 Columns {"&amp;COLUMN($B$1)&amp;"}"</f>
        <v>!SPV.02.01.20.04 Columns {2}</v>
      </c>
    </row>
    <row r="70" spans="2:12">
      <c r="B70" s="50"/>
      <c r="C70" s="60"/>
    </row>
    <row r="72" spans="2:12">
      <c r="K72" s="13" t="str">
        <f>Show!$B$193&amp;Show!$B$193&amp;"SPV.02.01.20.04 Rows {"&amp;COLUMN($B$1)&amp;"}"</f>
        <v>!!SPV.02.01.20.04 Rows {2}</v>
      </c>
      <c r="L72" s="13" t="str">
        <f>Show!$B$193&amp;Show!$B$193&amp;"SPV.02.01.20.04 Columns {"&amp;COLUMN($C$1)&amp;"}"</f>
        <v>!!SPV.02.01.20.04 Columns {3}</v>
      </c>
    </row>
  </sheetData>
  <sheetProtection sheet="1" objects="1" scenarios="1"/>
  <mergeCells count="13">
    <mergeCell ref="B42:B44"/>
    <mergeCell ref="C42:C43"/>
    <mergeCell ref="B2:O2"/>
    <mergeCell ref="B5:L5"/>
    <mergeCell ref="D9:D10"/>
    <mergeCell ref="D11:D12"/>
    <mergeCell ref="B38:L38"/>
    <mergeCell ref="B50:L50"/>
    <mergeCell ref="B54:B56"/>
    <mergeCell ref="C54:C55"/>
    <mergeCell ref="B62:L62"/>
    <mergeCell ref="B66:B68"/>
    <mergeCell ref="C66:C67"/>
  </mergeCells>
  <pageMargins left="0.7" right="0.7" top="0.75" bottom="0.75" header="0.3" footer="0.3"/>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25DEA-3276-4C18-B161-CE3205527946}">
  <sheetPr codeName="Blad198"/>
  <dimension ref="B2:O47"/>
  <sheetViews>
    <sheetView showGridLines="0" workbookViewId="0"/>
  </sheetViews>
  <sheetFormatPr defaultRowHeight="15"/>
  <cols>
    <col min="2" max="2" width="59.140625" bestFit="1" customWidth="1"/>
    <col min="3" max="4" width="15.7109375" customWidth="1"/>
  </cols>
  <sheetData>
    <row r="2" spans="2:15" ht="23.25">
      <c r="B2" s="86" t="s">
        <v>810</v>
      </c>
      <c r="C2" s="87"/>
      <c r="D2" s="87"/>
      <c r="E2" s="87"/>
      <c r="F2" s="87"/>
      <c r="G2" s="87"/>
      <c r="H2" s="87"/>
      <c r="I2" s="87"/>
      <c r="J2" s="87"/>
      <c r="K2" s="87"/>
      <c r="L2" s="87"/>
      <c r="M2" s="87"/>
      <c r="N2" s="87"/>
      <c r="O2" s="87"/>
    </row>
    <row r="5" spans="2:15" ht="18.75">
      <c r="B5" s="88" t="s">
        <v>6064</v>
      </c>
      <c r="C5" s="87"/>
      <c r="D5" s="87"/>
      <c r="E5" s="87"/>
      <c r="F5" s="87"/>
      <c r="G5" s="87"/>
      <c r="H5" s="87"/>
      <c r="I5" s="87"/>
      <c r="J5" s="87"/>
      <c r="K5" s="87"/>
      <c r="L5" s="87"/>
    </row>
    <row r="9" spans="2:15">
      <c r="D9" s="89" t="s">
        <v>2877</v>
      </c>
    </row>
    <row r="10" spans="2:15">
      <c r="D10" s="91"/>
    </row>
    <row r="11" spans="2:15">
      <c r="D11" s="89" t="s">
        <v>6065</v>
      </c>
    </row>
    <row r="12" spans="2:15">
      <c r="D12" s="91"/>
    </row>
    <row r="13" spans="2:15">
      <c r="D13" s="45" t="s">
        <v>2879</v>
      </c>
      <c r="K13" s="13" t="str">
        <f>Show!$B$194&amp;"SPV.02.02.20.01 Rows {"&amp;COLUMN($C$1)&amp;"}"&amp;"@ForceFilingCode:true"</f>
        <v>!SPV.02.02.20.01 Rows {3}@ForceFilingCode:true</v>
      </c>
      <c r="L13" s="13" t="str">
        <f>Show!$B$194&amp;"SPV.02.02.20.01 Columns {"&amp;COLUMN($D$1)&amp;"}"</f>
        <v>!SPV.02.02.20.01 Columns {4}</v>
      </c>
    </row>
    <row r="14" spans="2:15">
      <c r="B14" s="43" t="s">
        <v>2880</v>
      </c>
      <c r="C14" s="44" t="s">
        <v>2878</v>
      </c>
      <c r="D14" s="48"/>
    </row>
    <row r="15" spans="2:15">
      <c r="B15" s="47" t="s">
        <v>6066</v>
      </c>
      <c r="C15" s="44" t="s">
        <v>2878</v>
      </c>
      <c r="D15" s="46"/>
    </row>
    <row r="16" spans="2:15">
      <c r="B16" s="49" t="s">
        <v>6067</v>
      </c>
      <c r="C16" s="41" t="s">
        <v>2883</v>
      </c>
      <c r="D16" s="60"/>
    </row>
    <row r="17" spans="2:12">
      <c r="B17" s="49" t="s">
        <v>3387</v>
      </c>
      <c r="C17" s="41" t="s">
        <v>2885</v>
      </c>
      <c r="D17" s="60"/>
    </row>
    <row r="18" spans="2:12">
      <c r="B18" s="49" t="s">
        <v>6068</v>
      </c>
      <c r="C18" s="41" t="s">
        <v>2887</v>
      </c>
      <c r="D18" s="63"/>
    </row>
    <row r="19" spans="2:12">
      <c r="B19" s="47" t="s">
        <v>6069</v>
      </c>
      <c r="C19" s="44" t="s">
        <v>2878</v>
      </c>
      <c r="D19" s="46"/>
    </row>
    <row r="20" spans="2:12">
      <c r="B20" s="49" t="s">
        <v>3393</v>
      </c>
      <c r="C20" s="41" t="s">
        <v>2889</v>
      </c>
      <c r="D20" s="60"/>
    </row>
    <row r="21" spans="2:12">
      <c r="B21" s="49" t="s">
        <v>6070</v>
      </c>
      <c r="C21" s="41" t="s">
        <v>3078</v>
      </c>
      <c r="D21" s="60"/>
    </row>
    <row r="23" spans="2:12">
      <c r="K23" s="13" t="str">
        <f>Show!$B$194&amp;Show!$B$194&amp;"SPV.02.02.20.01 Rows {"&amp;COLUMN($C$1)&amp;"}"</f>
        <v>!!SPV.02.02.20.01 Rows {3}</v>
      </c>
      <c r="L23" s="13" t="str">
        <f>Show!$B$194&amp;Show!$B$194&amp;"SPV.02.02.20.01 Columns {"&amp;COLUMN($D$1)&amp;"}"</f>
        <v>!!SPV.02.02.20.01 Columns {4}</v>
      </c>
    </row>
    <row r="25" spans="2:12" ht="18.75">
      <c r="B25" s="88" t="s">
        <v>6071</v>
      </c>
      <c r="C25" s="87"/>
      <c r="D25" s="87"/>
      <c r="E25" s="87"/>
      <c r="F25" s="87"/>
      <c r="G25" s="87"/>
      <c r="H25" s="87"/>
      <c r="I25" s="87"/>
      <c r="J25" s="87"/>
      <c r="K25" s="87"/>
      <c r="L25" s="87"/>
    </row>
    <row r="29" spans="2:12">
      <c r="B29" s="89" t="s">
        <v>6072</v>
      </c>
      <c r="C29" s="89" t="s">
        <v>2877</v>
      </c>
    </row>
    <row r="30" spans="2:12">
      <c r="B30" s="90"/>
      <c r="C30" s="91"/>
    </row>
    <row r="31" spans="2:12" ht="30">
      <c r="B31" s="91"/>
      <c r="C31" s="55" t="s">
        <v>6065</v>
      </c>
    </row>
    <row r="32" spans="2:12">
      <c r="B32" s="42" t="s">
        <v>3219</v>
      </c>
      <c r="C32" s="42" t="s">
        <v>2879</v>
      </c>
      <c r="K32" s="13" t="str">
        <f>Show!$B$194&amp;"SPV.02.02.20.02 Rows {"&amp;COLUMN($B$1)&amp;"}"&amp;"@ForceFilingCode:true"</f>
        <v>!SPV.02.02.20.02 Rows {2}@ForceFilingCode:true</v>
      </c>
      <c r="L32" s="13" t="str">
        <f>Show!$B$194&amp;"SPV.02.02.20.02 Columns {"&amp;COLUMN($B$1)&amp;"}"</f>
        <v>!SPV.02.02.20.02 Columns {2}</v>
      </c>
    </row>
    <row r="33" spans="2:12">
      <c r="B33" s="50"/>
      <c r="C33" s="60"/>
    </row>
    <row r="35" spans="2:12">
      <c r="K35" s="13" t="str">
        <f>Show!$B$194&amp;Show!$B$194&amp;"SPV.02.02.20.02 Rows {"&amp;COLUMN($B$1)&amp;"}"</f>
        <v>!!SPV.02.02.20.02 Rows {2}</v>
      </c>
      <c r="L35" s="13" t="str">
        <f>Show!$B$194&amp;Show!$B$194&amp;"SPV.02.02.20.02 Columns {"&amp;COLUMN($C$1)&amp;"}"</f>
        <v>!!SPV.02.02.20.02 Columns {3}</v>
      </c>
    </row>
    <row r="37" spans="2:12" ht="18.75">
      <c r="B37" s="88" t="s">
        <v>6073</v>
      </c>
      <c r="C37" s="87"/>
      <c r="D37" s="87"/>
      <c r="E37" s="87"/>
      <c r="F37" s="87"/>
      <c r="G37" s="87"/>
      <c r="H37" s="87"/>
      <c r="I37" s="87"/>
      <c r="J37" s="87"/>
      <c r="K37" s="87"/>
      <c r="L37" s="87"/>
    </row>
    <row r="41" spans="2:12">
      <c r="B41" s="89" t="s">
        <v>6074</v>
      </c>
      <c r="C41" s="89" t="s">
        <v>2877</v>
      </c>
    </row>
    <row r="42" spans="2:12">
      <c r="B42" s="90"/>
      <c r="C42" s="91"/>
    </row>
    <row r="43" spans="2:12" ht="30">
      <c r="B43" s="91"/>
      <c r="C43" s="55" t="s">
        <v>6065</v>
      </c>
    </row>
    <row r="44" spans="2:12">
      <c r="B44" s="42" t="s">
        <v>3225</v>
      </c>
      <c r="C44" s="42" t="s">
        <v>2879</v>
      </c>
      <c r="K44" s="13" t="str">
        <f>Show!$B$194&amp;"SPV.02.02.20.03 Rows {"&amp;COLUMN($B$1)&amp;"}"&amp;"@ForceFilingCode:true"</f>
        <v>!SPV.02.02.20.03 Rows {2}@ForceFilingCode:true</v>
      </c>
      <c r="L44" s="13" t="str">
        <f>Show!$B$194&amp;"SPV.02.02.20.03 Columns {"&amp;COLUMN($B$1)&amp;"}"</f>
        <v>!SPV.02.02.20.03 Columns {2}</v>
      </c>
    </row>
    <row r="45" spans="2:12">
      <c r="B45" s="50"/>
      <c r="C45" s="60"/>
    </row>
    <row r="47" spans="2:12">
      <c r="K47" s="13" t="str">
        <f>Show!$B$194&amp;Show!$B$194&amp;"SPV.02.02.20.03 Rows {"&amp;COLUMN($B$1)&amp;"}"</f>
        <v>!!SPV.02.02.20.03 Rows {2}</v>
      </c>
      <c r="L47" s="13" t="str">
        <f>Show!$B$194&amp;Show!$B$194&amp;"SPV.02.02.20.03 Columns {"&amp;COLUMN($C$1)&amp;"}"</f>
        <v>!!SPV.02.02.20.03 Columns {3}</v>
      </c>
    </row>
  </sheetData>
  <sheetProtection sheet="1" objects="1" scenarios="1"/>
  <mergeCells count="10">
    <mergeCell ref="B37:L37"/>
    <mergeCell ref="B41:B43"/>
    <mergeCell ref="C41:C42"/>
    <mergeCell ref="B2:O2"/>
    <mergeCell ref="B5:L5"/>
    <mergeCell ref="D9:D10"/>
    <mergeCell ref="D11:D12"/>
    <mergeCell ref="B25:L25"/>
    <mergeCell ref="B29:B31"/>
    <mergeCell ref="C29:C30"/>
  </mergeCells>
  <pageMargins left="0.7" right="0.7" top="0.75" bottom="0.75" header="0.3" footer="0.3"/>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A6698-6C0A-4ECA-A00F-C357029574D8}">
  <sheetPr codeName="Blad199"/>
  <dimension ref="B2:S28"/>
  <sheetViews>
    <sheetView showGridLines="0" workbookViewId="0"/>
  </sheetViews>
  <sheetFormatPr defaultRowHeight="15"/>
  <cols>
    <col min="2" max="2" width="12.7109375" bestFit="1" customWidth="1"/>
    <col min="3" max="3" width="15.7109375" customWidth="1"/>
    <col min="4" max="6" width="40.7109375" customWidth="1"/>
    <col min="7" max="8" width="15.7109375" customWidth="1"/>
    <col min="9" max="9" width="40.7109375" customWidth="1"/>
    <col min="10" max="10" width="15.7109375" customWidth="1"/>
  </cols>
  <sheetData>
    <row r="2" spans="2:19" ht="23.25">
      <c r="B2" s="86" t="s">
        <v>812</v>
      </c>
      <c r="C2" s="87"/>
      <c r="D2" s="87"/>
      <c r="E2" s="87"/>
      <c r="F2" s="87"/>
      <c r="G2" s="87"/>
      <c r="H2" s="87"/>
      <c r="I2" s="87"/>
      <c r="J2" s="87"/>
      <c r="K2" s="87"/>
      <c r="L2" s="87"/>
      <c r="M2" s="87"/>
      <c r="N2" s="87"/>
      <c r="O2" s="87"/>
    </row>
    <row r="5" spans="2:19" ht="18.75">
      <c r="B5" s="88" t="s">
        <v>6075</v>
      </c>
      <c r="C5" s="87"/>
      <c r="D5" s="87"/>
      <c r="E5" s="87"/>
      <c r="F5" s="87"/>
      <c r="G5" s="87"/>
      <c r="H5" s="87"/>
      <c r="I5" s="87"/>
      <c r="J5" s="87"/>
      <c r="K5" s="87"/>
      <c r="L5" s="87"/>
    </row>
    <row r="9" spans="2:19">
      <c r="D9" s="92" t="s">
        <v>2877</v>
      </c>
      <c r="E9" s="94"/>
    </row>
    <row r="10" spans="2:19">
      <c r="D10" s="95"/>
      <c r="E10" s="97"/>
    </row>
    <row r="11" spans="2:19" ht="30">
      <c r="D11" s="55" t="s">
        <v>6076</v>
      </c>
      <c r="E11" s="55" t="s">
        <v>6077</v>
      </c>
    </row>
    <row r="12" spans="2:19">
      <c r="D12" s="45" t="s">
        <v>3233</v>
      </c>
      <c r="E12" s="45" t="s">
        <v>3234</v>
      </c>
      <c r="R12" s="13" t="str">
        <f>Show!$B$195&amp;"SPV.03.01.20.01 Rows {"&amp;COLUMN($C$1)&amp;"}"&amp;"@ForceFilingCode:true"</f>
        <v>!SPV.03.01.20.01 Rows {3}@ForceFilingCode:true</v>
      </c>
      <c r="S12" s="13" t="str">
        <f>Show!$B$195&amp;"SPV.03.01.20.01 Columns {"&amp;COLUMN($D$1)&amp;"}"</f>
        <v>!SPV.03.01.20.01 Columns {4}</v>
      </c>
    </row>
    <row r="13" spans="2:19">
      <c r="B13" s="43" t="s">
        <v>2880</v>
      </c>
      <c r="C13" s="44" t="s">
        <v>2878</v>
      </c>
      <c r="D13" s="56"/>
      <c r="E13" s="57"/>
    </row>
    <row r="14" spans="2:19">
      <c r="B14" s="47" t="s">
        <v>3480</v>
      </c>
      <c r="C14" s="41" t="s">
        <v>2883</v>
      </c>
      <c r="D14" s="60"/>
      <c r="E14" s="60"/>
    </row>
    <row r="16" spans="2:19">
      <c r="R16" s="13" t="str">
        <f>Show!$B$195&amp;Show!$B$195&amp;"SPV.03.01.20.01 Rows {"&amp;COLUMN($C$1)&amp;"}"</f>
        <v>!!SPV.03.01.20.01 Rows {3}</v>
      </c>
      <c r="S16" s="13" t="str">
        <f>Show!$B$195&amp;Show!$B$195&amp;"SPV.03.01.20.01 Columns {"&amp;COLUMN($E$1)&amp;"}"</f>
        <v>!!SPV.03.01.20.01 Columns {5}</v>
      </c>
    </row>
    <row r="18" spans="2:19" ht="18.75">
      <c r="B18" s="88" t="s">
        <v>6078</v>
      </c>
      <c r="C18" s="87"/>
      <c r="D18" s="87"/>
      <c r="E18" s="87"/>
      <c r="F18" s="87"/>
      <c r="G18" s="87"/>
      <c r="H18" s="87"/>
      <c r="I18" s="87"/>
      <c r="J18" s="87"/>
      <c r="K18" s="87"/>
      <c r="L18" s="87"/>
    </row>
    <row r="22" spans="2:19">
      <c r="B22" s="89" t="s">
        <v>6079</v>
      </c>
      <c r="C22" s="92" t="s">
        <v>2877</v>
      </c>
      <c r="D22" s="93"/>
      <c r="E22" s="93"/>
      <c r="F22" s="93"/>
      <c r="G22" s="93"/>
      <c r="H22" s="93"/>
      <c r="I22" s="93"/>
      <c r="J22" s="94"/>
    </row>
    <row r="23" spans="2:19">
      <c r="B23" s="90"/>
      <c r="C23" s="95"/>
      <c r="D23" s="96"/>
      <c r="E23" s="96"/>
      <c r="F23" s="96"/>
      <c r="G23" s="96"/>
      <c r="H23" s="96"/>
      <c r="I23" s="96"/>
      <c r="J23" s="97"/>
    </row>
    <row r="24" spans="2:19" ht="60">
      <c r="B24" s="91"/>
      <c r="C24" s="55" t="s">
        <v>6080</v>
      </c>
      <c r="D24" s="55" t="s">
        <v>6081</v>
      </c>
      <c r="E24" s="55" t="s">
        <v>6082</v>
      </c>
      <c r="F24" s="55" t="s">
        <v>6083</v>
      </c>
      <c r="G24" s="55" t="s">
        <v>6076</v>
      </c>
      <c r="H24" s="55" t="s">
        <v>6077</v>
      </c>
      <c r="I24" s="55" t="s">
        <v>6084</v>
      </c>
      <c r="J24" s="55" t="s">
        <v>3621</v>
      </c>
    </row>
    <row r="25" spans="2:19">
      <c r="B25" s="42" t="s">
        <v>2879</v>
      </c>
      <c r="C25" s="42" t="s">
        <v>3219</v>
      </c>
      <c r="D25" s="42" t="s">
        <v>3225</v>
      </c>
      <c r="E25" s="42" t="s">
        <v>3223</v>
      </c>
      <c r="F25" s="42" t="s">
        <v>3229</v>
      </c>
      <c r="G25" s="42" t="s">
        <v>3233</v>
      </c>
      <c r="H25" s="42" t="s">
        <v>3234</v>
      </c>
      <c r="I25" s="42" t="s">
        <v>3236</v>
      </c>
      <c r="J25" s="42" t="s">
        <v>3239</v>
      </c>
      <c r="R25" s="13" t="str">
        <f>Show!$B$195&amp;"SPV.03.01.20.02 Rows {"&amp;COLUMN($B$1)&amp;"}"&amp;"@ForceFilingCode:true"</f>
        <v>!SPV.03.01.20.02 Rows {2}@ForceFilingCode:true</v>
      </c>
      <c r="S25" s="13" t="str">
        <f>Show!$B$195&amp;"SPV.03.01.20.02 Columns {"&amp;COLUMN($B$1)&amp;"}"</f>
        <v>!SPV.03.01.20.02 Columns {2}</v>
      </c>
    </row>
    <row r="26" spans="2:19">
      <c r="B26" s="50"/>
      <c r="C26" s="54"/>
      <c r="D26" s="51"/>
      <c r="E26" s="51"/>
      <c r="F26" s="51"/>
      <c r="G26" s="60"/>
      <c r="H26" s="60"/>
      <c r="I26" s="51"/>
      <c r="J26" s="69"/>
    </row>
    <row r="28" spans="2:19">
      <c r="R28" s="13" t="str">
        <f>Show!$B$195&amp;Show!$B$195&amp;"SPV.03.01.20.02 Rows {"&amp;COLUMN($B$1)&amp;"}"</f>
        <v>!!SPV.03.01.20.02 Rows {2}</v>
      </c>
      <c r="S28" s="13" t="str">
        <f>Show!$B$195&amp;Show!$B$195&amp;"SPV.03.01.20.02 Columns {"&amp;COLUMN($J$1)&amp;"}"</f>
        <v>!!SPV.03.01.20.02 Columns {10}</v>
      </c>
    </row>
  </sheetData>
  <sheetProtection sheet="1" objects="1" scenarios="1"/>
  <mergeCells count="6">
    <mergeCell ref="B2:O2"/>
    <mergeCell ref="B5:L5"/>
    <mergeCell ref="D9:E10"/>
    <mergeCell ref="B18:L18"/>
    <mergeCell ref="B22:B24"/>
    <mergeCell ref="C22:J23"/>
  </mergeCells>
  <dataValidations count="3">
    <dataValidation type="date" operator="greaterThan" allowBlank="1" showInputMessage="1" showErrorMessage="1" errorTitle="Date value" error="This cell can only contain dates" sqref="C26" xr:uid="{1A2091A4-237B-4723-87E9-5BE64A61256C}">
      <formula1>1</formula1>
    </dataValidation>
    <dataValidation type="list" errorStyle="warning" allowBlank="1" showInputMessage="1" showErrorMessage="1" sqref="D26" xr:uid="{CB1EA5FD-D62E-4BD3-89F4-9C9B61851FC8}">
      <formula1>hier_AP_16</formula1>
    </dataValidation>
    <dataValidation type="list" errorStyle="warning" allowBlank="1" showInputMessage="1" showErrorMessage="1" sqref="I26" xr:uid="{C8779E64-6C28-4101-B8F7-3AA43986C844}">
      <formula1>hier_AP_15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3BE18-DA06-4C1E-B523-D8F314535218}">
  <sheetPr codeName="Blad3">
    <tabColor rgb="FF92D050"/>
  </sheetPr>
  <dimension ref="A1:B1"/>
  <sheetViews>
    <sheetView workbookViewId="0">
      <selection activeCell="D46" sqref="D46"/>
    </sheetView>
  </sheetViews>
  <sheetFormatPr defaultRowHeight="15"/>
  <cols>
    <col min="1" max="1" width="17.5703125" style="33" customWidth="1"/>
    <col min="2" max="2" width="146.85546875" style="33" customWidth="1"/>
  </cols>
  <sheetData>
    <row r="1" spans="1:2">
      <c r="A1" s="33" t="s">
        <v>464</v>
      </c>
      <c r="B1" s="33" t="s">
        <v>465</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0F7A5-27FE-4893-967B-B802213FFA2F}">
  <sheetPr codeName="Blad20"/>
  <dimension ref="B2:O36"/>
  <sheetViews>
    <sheetView showGridLines="0" workbookViewId="0"/>
  </sheetViews>
  <sheetFormatPr defaultRowHeight="15"/>
  <cols>
    <col min="2" max="2" width="85.7109375" customWidth="1"/>
    <col min="4" max="4" width="40.7109375" customWidth="1"/>
  </cols>
  <sheetData>
    <row r="2" spans="2:15" ht="23.25">
      <c r="B2" s="86" t="s">
        <v>512</v>
      </c>
      <c r="C2" s="87"/>
      <c r="D2" s="87"/>
      <c r="E2" s="87"/>
      <c r="F2" s="87"/>
      <c r="G2" s="87"/>
      <c r="H2" s="87"/>
      <c r="I2" s="87"/>
      <c r="J2" s="87"/>
      <c r="K2" s="87"/>
      <c r="L2" s="87"/>
      <c r="M2" s="87"/>
      <c r="N2" s="87"/>
      <c r="O2" s="87"/>
    </row>
    <row r="5" spans="2:15" ht="18.75">
      <c r="B5" s="88" t="s">
        <v>3153</v>
      </c>
      <c r="C5" s="87"/>
      <c r="D5" s="87"/>
      <c r="E5" s="87"/>
      <c r="F5" s="87"/>
      <c r="G5" s="87"/>
      <c r="H5" s="87"/>
      <c r="I5" s="87"/>
      <c r="J5" s="87"/>
      <c r="K5" s="87"/>
      <c r="L5" s="87"/>
    </row>
    <row r="7" spans="2:15">
      <c r="B7" t="s">
        <v>3110</v>
      </c>
      <c r="I7" s="13" t="str">
        <f>IF(COUNTIF(D:D,"Reported")&gt;0,Show!$B$16,"!")&amp;"SR.01.01.07.01 Table label {"&amp;COLUMN($C$1)&amp;"}"</f>
        <v>!SR.01.01.07.01 Table label {3}</v>
      </c>
      <c r="J7" s="13" t="str">
        <f>IF(COUNTIF(D:D,"Reported")&gt;0,Show!$B$16,"!")&amp;"SR.01.01.07.01 Table value {"&amp;COLUMN($D$1)&amp;"}"</f>
        <v>!SR.01.01.07.01 Table value {4}</v>
      </c>
    </row>
    <row r="8" spans="2:15">
      <c r="B8" t="s">
        <v>3111</v>
      </c>
    </row>
    <row r="9" spans="2:15">
      <c r="B9" s="40" t="s">
        <v>3112</v>
      </c>
      <c r="C9" s="53" t="s">
        <v>3113</v>
      </c>
      <c r="D9" s="51"/>
    </row>
    <row r="10" spans="2:15">
      <c r="B10" s="40" t="s">
        <v>3114</v>
      </c>
      <c r="C10" s="53" t="s">
        <v>3115</v>
      </c>
      <c r="D10" s="50"/>
    </row>
    <row r="11" spans="2:15">
      <c r="I11" s="13" t="str">
        <f>IF(COUNTIF(D:D,"Reported")&gt;0,Show!$B$16&amp;Show!$B$16,"!!")&amp;"SR.01.01.07.01 Table label {"&amp;COLUMN($C$1)&amp;"}"</f>
        <v>!!SR.01.01.07.01 Table label {3}</v>
      </c>
      <c r="J11" s="13" t="str">
        <f>IF(COUNTIF(D:D,"Reported")&gt;0,Show!$B$16&amp;Show!$B$16,"!!")&amp;"SR.01.01.07.01 Table value {"&amp;COLUMN($D$1)&amp;"}"</f>
        <v>!!SR.01.01.07.01 Table value {4}</v>
      </c>
    </row>
    <row r="13" spans="2:15">
      <c r="D13" s="89" t="s">
        <v>2877</v>
      </c>
    </row>
    <row r="14" spans="2:15">
      <c r="D14" s="90"/>
    </row>
    <row r="15" spans="2:15">
      <c r="D15" s="90"/>
    </row>
    <row r="16" spans="2:15">
      <c r="D16" s="91"/>
    </row>
    <row r="17" spans="2:10">
      <c r="D17" s="45" t="s">
        <v>2879</v>
      </c>
      <c r="I17" s="13" t="str">
        <f>IF(COUNTIF(D:D,"Reported")&gt;0,Show!$B$16,"!")&amp;"SR.01.01.07.01 Rows {"&amp;COLUMN($C$1)&amp;"}"&amp;"@ForceFilingCode:true"</f>
        <v>!SR.01.01.07.01 Rows {3}@ForceFilingCode:true</v>
      </c>
      <c r="J17" s="13" t="str">
        <f>IF(COUNTIF(D:D,"Reported")&gt;0,Show!$B$16,"!")&amp;"SR.01.01.07.01 Columns {"&amp;COLUMN($D$1)&amp;"}"</f>
        <v>!SR.01.01.07.01 Columns {4}</v>
      </c>
    </row>
    <row r="18" spans="2:10">
      <c r="B18" s="43" t="s">
        <v>2880</v>
      </c>
      <c r="C18" s="44" t="s">
        <v>2878</v>
      </c>
      <c r="D18" s="48"/>
    </row>
    <row r="19" spans="2:10">
      <c r="B19" s="47" t="s">
        <v>2881</v>
      </c>
      <c r="C19" s="44" t="s">
        <v>2878</v>
      </c>
      <c r="D19" s="46"/>
    </row>
    <row r="20" spans="2:10">
      <c r="B20" s="52" t="s">
        <v>3154</v>
      </c>
      <c r="C20" s="41" t="s">
        <v>3118</v>
      </c>
      <c r="D20" s="51"/>
    </row>
    <row r="21" spans="2:10">
      <c r="B21" s="52" t="s">
        <v>3119</v>
      </c>
      <c r="C21" s="41" t="s">
        <v>3120</v>
      </c>
      <c r="D21" s="51"/>
    </row>
    <row r="22" spans="2:10">
      <c r="B22" s="52" t="s">
        <v>3121</v>
      </c>
      <c r="C22" s="41" t="s">
        <v>3122</v>
      </c>
      <c r="D22" s="51"/>
    </row>
    <row r="23" spans="2:10">
      <c r="B23" s="52" t="s">
        <v>3123</v>
      </c>
      <c r="C23" s="41" t="s">
        <v>3124</v>
      </c>
      <c r="D23" s="51"/>
    </row>
    <row r="24" spans="2:10">
      <c r="B24" s="52" t="s">
        <v>3125</v>
      </c>
      <c r="C24" s="41" t="s">
        <v>3126</v>
      </c>
      <c r="D24" s="51"/>
    </row>
    <row r="25" spans="2:10">
      <c r="B25" s="52" t="s">
        <v>3127</v>
      </c>
      <c r="C25" s="41" t="s">
        <v>3128</v>
      </c>
      <c r="D25" s="51"/>
    </row>
    <row r="26" spans="2:10" ht="30">
      <c r="B26" s="52" t="s">
        <v>3129</v>
      </c>
      <c r="C26" s="41" t="s">
        <v>3130</v>
      </c>
      <c r="D26" s="51"/>
    </row>
    <row r="27" spans="2:10">
      <c r="B27" s="52" t="s">
        <v>3131</v>
      </c>
      <c r="C27" s="41" t="s">
        <v>3132</v>
      </c>
      <c r="D27" s="51"/>
    </row>
    <row r="28" spans="2:10">
      <c r="B28" s="52" t="s">
        <v>3133</v>
      </c>
      <c r="C28" s="41" t="s">
        <v>3134</v>
      </c>
      <c r="D28" s="51"/>
    </row>
    <row r="29" spans="2:10">
      <c r="B29" s="52" t="s">
        <v>3135</v>
      </c>
      <c r="C29" s="41" t="s">
        <v>3136</v>
      </c>
      <c r="D29" s="51"/>
    </row>
    <row r="30" spans="2:10">
      <c r="B30" s="52" t="s">
        <v>3137</v>
      </c>
      <c r="C30" s="41" t="s">
        <v>3138</v>
      </c>
      <c r="D30" s="51"/>
    </row>
    <row r="31" spans="2:10">
      <c r="B31" s="52" t="s">
        <v>3139</v>
      </c>
      <c r="C31" s="41" t="s">
        <v>3140</v>
      </c>
      <c r="D31" s="51"/>
    </row>
    <row r="32" spans="2:10">
      <c r="B32" s="52" t="s">
        <v>3141</v>
      </c>
      <c r="C32" s="41" t="s">
        <v>3142</v>
      </c>
      <c r="D32" s="51"/>
    </row>
    <row r="33" spans="2:10">
      <c r="B33" s="52" t="s">
        <v>3143</v>
      </c>
      <c r="C33" s="41" t="s">
        <v>3144</v>
      </c>
      <c r="D33" s="51"/>
    </row>
    <row r="34" spans="2:10">
      <c r="B34" s="52" t="s">
        <v>3145</v>
      </c>
      <c r="C34" s="41" t="s">
        <v>3146</v>
      </c>
      <c r="D34" s="51"/>
    </row>
    <row r="35" spans="2:10">
      <c r="B35" s="52" t="s">
        <v>3155</v>
      </c>
      <c r="C35" s="41" t="s">
        <v>3148</v>
      </c>
      <c r="D35" s="51"/>
    </row>
    <row r="36" spans="2:10">
      <c r="I36" s="13" t="str">
        <f>IF(COUNTIF(D:D,"Reported")&gt;0,Show!$B$16&amp;Show!$B$16,"!!")&amp;"SR.01.01.07.01 Rows {"&amp;COLUMN($C$1)&amp;"}"</f>
        <v>!!SR.01.01.07.01 Rows {3}</v>
      </c>
      <c r="J36" s="13" t="str">
        <f>IF(COUNTIF(D:D,"Reported")&gt;0,Show!$B$16&amp;Show!$B$16,"!!")&amp;"SR.01.01.07.01 Columns {"&amp;COLUMN($D$1)&amp;"}"</f>
        <v>!!SR.01.01.07.01 Columns {4}</v>
      </c>
    </row>
  </sheetData>
  <sheetProtection sheet="1" objects="1" scenarios="1"/>
  <mergeCells count="3">
    <mergeCell ref="B2:O2"/>
    <mergeCell ref="B5:L5"/>
    <mergeCell ref="D13:D16"/>
  </mergeCells>
  <dataValidations count="12">
    <dataValidation type="list" errorStyle="warning" allowBlank="1" showInputMessage="1" showErrorMessage="1" sqref="D9" xr:uid="{C12049B2-409F-42F4-930C-129FFF5EC6A2}">
      <formula1>hier_PU_20</formula1>
    </dataValidation>
    <dataValidation type="list" errorStyle="warning" allowBlank="1" showInputMessage="1" showErrorMessage="1" sqref="D20" xr:uid="{45E40A72-823F-4A23-8711-01DBEA5FAB9F}">
      <formula1>hier_CN_77</formula1>
    </dataValidation>
    <dataValidation type="list" errorStyle="warning" allowBlank="1" showInputMessage="1" showErrorMessage="1" sqref="D21" xr:uid="{D4C4C668-81F7-4808-84EA-14B7E238FDFB}">
      <formula1>hier_CN_92</formula1>
    </dataValidation>
    <dataValidation type="list" errorStyle="warning" allowBlank="1" showInputMessage="1" showErrorMessage="1" sqref="D22" xr:uid="{828CB342-5D73-4FA4-90FB-A9AB8D37DA8A}">
      <formula1>hier_CN_93</formula1>
    </dataValidation>
    <dataValidation type="list" errorStyle="warning" allowBlank="1" showInputMessage="1" showErrorMessage="1" sqref="D23 D24" xr:uid="{9D524FD7-EDE9-45F2-8A9F-5D24C23004A4}">
      <formula1>hier_CN_79</formula1>
    </dataValidation>
    <dataValidation type="list" errorStyle="warning" allowBlank="1" showInputMessage="1" showErrorMessage="1" sqref="D25" xr:uid="{6C57D373-DE12-4C35-AEFB-88F096D5D702}">
      <formula1>hier_CN_108</formula1>
    </dataValidation>
    <dataValidation type="list" errorStyle="warning" allowBlank="1" showInputMessage="1" showErrorMessage="1" sqref="D26" xr:uid="{D9D04429-83B7-449E-B184-2E604DBD41B5}">
      <formula1>hier_CN_8</formula1>
    </dataValidation>
    <dataValidation type="list" errorStyle="warning" allowBlank="1" showInputMessage="1" showErrorMessage="1" sqref="D27" xr:uid="{A5DC1422-93A9-4545-9FEE-0AD7E2C283B8}">
      <formula1>hier_CN_9</formula1>
    </dataValidation>
    <dataValidation type="list" errorStyle="warning" allowBlank="1" showInputMessage="1" showErrorMessage="1" sqref="D28 D29 D30 D31 D32" xr:uid="{73E5B104-4DD9-4679-8D58-A3DF9EC77950}">
      <formula1>hier_CN_124</formula1>
    </dataValidation>
    <dataValidation type="list" errorStyle="warning" allowBlank="1" showInputMessage="1" showErrorMessage="1" sqref="D33" xr:uid="{DE4204D8-8193-40BB-BA4C-D62B7BBE0A18}">
      <formula1>hier_CN_53</formula1>
    </dataValidation>
    <dataValidation type="list" errorStyle="warning" allowBlank="1" showInputMessage="1" showErrorMessage="1" sqref="D34" xr:uid="{AFFB2398-892C-4B06-809E-4EA3F78E2D7D}">
      <formula1>hier_CN_55</formula1>
    </dataValidation>
    <dataValidation type="list" errorStyle="warning" allowBlank="1" showInputMessage="1" showErrorMessage="1" sqref="D35" xr:uid="{373E09A0-4263-4FB1-8C6F-D78049C3A626}">
      <formula1>hier_CN_51</formula1>
    </dataValidation>
  </dataValidations>
  <hyperlinks>
    <hyperlink ref="B20" location="'SR.02.01.07'!A1" display="SR.02.01.07 - Balance Sheet" xr:uid="{CFB6DC61-B831-4CD2-B611-FD89EB00C803}"/>
    <hyperlink ref="B21" location="'SR.12.01.01'!A1" display="SR.12.01.01 - Life and Health SLT Technical Provisions" xr:uid="{126120AA-3899-45FF-B544-771B124FC155}"/>
    <hyperlink ref="B22" location="'SR.17.01.01'!A1" display="SR.17.01.01 - Non-Life Technical Provisions" xr:uid="{56DA5441-4DF7-4CDC-A255-3DD68C59BD72}"/>
    <hyperlink ref="B23" location="'SR.22.02.01'!A1" display="SR.22.02.01 - Projection of future cash flows (Best Estimate - Matching portfolios)" xr:uid="{7C3D3750-2695-426D-8654-97EB4B69C4D4}"/>
    <hyperlink ref="B24" location="'SR.22.03.01'!A1" display="SR.22.03.01 - Information on the matching adjustment calculation" xr:uid="{AC6785E2-F5F0-40E2-8863-AF53F221CA0B}"/>
    <hyperlink ref="B25" location="'SR.25.01.01'!A1" display="SR.25.01.01 - Solvency Capital Requirement - for undertakings on Standard Formula" xr:uid="{A7A2AD90-73D7-499E-89CD-2D689D5E3E33}"/>
    <hyperlink ref="B26" location="'SR.25.02.01'!A1" display="SR.25.02.01 - Solvency Capital Requirement - for undertakings using the standard formula and partial internal model" xr:uid="{CBCF45AC-B8A5-49D9-8B7B-A17E30F9C1DC}"/>
    <hyperlink ref="B27" location="'SR.25.03.01'!A1" display="SR.25.03.01 - Solvency Capital Requirement - for undertakings on Full Internal Models" xr:uid="{93018764-3FE1-42A5-B4CF-0F9216AC41DA}"/>
    <hyperlink ref="B28" location="'SR.26.01.01'!A1" display="SR.26.01.01 - Solvency Capital Requirement - Market risk" xr:uid="{066C6B9C-FB81-41F0-BBA6-5889E91BD6C1}"/>
    <hyperlink ref="B29" location="'SR.26.02.01'!A1" display="SR.26.02.01 - Solvency Capital Requirement - Counterparty default risk" xr:uid="{31E599FF-D98C-4DF8-A55E-645BF2A62F0D}"/>
    <hyperlink ref="B30" location="'SR.26.03.01'!A1" display="SR.26.03.01 - Solvency Capital Requirement - Life underwriting risk" xr:uid="{CAE46140-501F-44C9-94F1-52819B97A101}"/>
    <hyperlink ref="B31" location="'SR.26.04.01'!A1" display="SR.26.04.01 - Solvency Capital Requirement - Health underwriting risk" xr:uid="{A9565856-0130-45AA-B3EB-6D601BF35B05}"/>
    <hyperlink ref="B32" location="'SR.26.05.01'!A1" display="SR.26.05.01 - Solvency Capital Requirement - Non-Life underwriting risk" xr:uid="{F16E9DA3-1E70-4289-9EE1-2E37EC9A12C3}"/>
    <hyperlink ref="B33" location="'SR.26.06.01'!A1" display="SR.26.06.01 - Solvency Capital Requirement - Operational risk" xr:uid="{D157FEE3-6369-45BF-AB86-85B15715F072}"/>
    <hyperlink ref="B34" location="'SR.26.07.01'!A1" display="SR.26.07.01 - Solvency Capital Requirement - Simplifications" xr:uid="{4D6815F9-682D-44C0-A8D4-A05A679E3DB2}"/>
    <hyperlink ref="B35" location="'SR.27.01.01'!A1" display="SR.27.01.01 - Solvency Capital Requirement - Non-Life and Health catastrophe risk" xr:uid="{58E83656-6746-497C-947B-E8F049DA403B}"/>
  </hyperlinks>
  <pageMargins left="0.7" right="0.7" top="0.75" bottom="0.75" header="0.3" footer="0.3"/>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98FB3-DB74-415E-925F-D7813428FF09}">
  <sheetPr codeName="Blad200"/>
  <dimension ref="B2:O28"/>
  <sheetViews>
    <sheetView showGridLines="0" workbookViewId="0"/>
  </sheetViews>
  <sheetFormatPr defaultRowHeight="15"/>
  <cols>
    <col min="2" max="2" width="12.7109375" bestFit="1" customWidth="1"/>
    <col min="3" max="3" width="40.7109375" customWidth="1"/>
    <col min="4" max="4" width="15.7109375" customWidth="1"/>
  </cols>
  <sheetData>
    <row r="2" spans="2:15" ht="23.25">
      <c r="B2" s="86" t="s">
        <v>812</v>
      </c>
      <c r="C2" s="87"/>
      <c r="D2" s="87"/>
      <c r="E2" s="87"/>
      <c r="F2" s="87"/>
      <c r="G2" s="87"/>
      <c r="H2" s="87"/>
      <c r="I2" s="87"/>
      <c r="J2" s="87"/>
      <c r="K2" s="87"/>
      <c r="L2" s="87"/>
      <c r="M2" s="87"/>
      <c r="N2" s="87"/>
      <c r="O2" s="87"/>
    </row>
    <row r="5" spans="2:15" ht="18.75">
      <c r="B5" s="88" t="s">
        <v>6085</v>
      </c>
      <c r="C5" s="87"/>
      <c r="D5" s="87"/>
      <c r="E5" s="87"/>
      <c r="F5" s="87"/>
      <c r="G5" s="87"/>
      <c r="H5" s="87"/>
      <c r="I5" s="87"/>
      <c r="J5" s="87"/>
      <c r="K5" s="87"/>
      <c r="L5" s="87"/>
    </row>
    <row r="9" spans="2:15">
      <c r="D9" s="89" t="s">
        <v>2877</v>
      </c>
    </row>
    <row r="10" spans="2:15">
      <c r="D10" s="91"/>
    </row>
    <row r="11" spans="2:15" ht="90">
      <c r="D11" s="55" t="s">
        <v>6086</v>
      </c>
    </row>
    <row r="12" spans="2:15">
      <c r="D12" s="45" t="s">
        <v>3225</v>
      </c>
      <c r="L12" s="13" t="str">
        <f>Show!$B$196&amp;"SPV.03.02.20.01 Rows {"&amp;COLUMN($C$1)&amp;"}"&amp;"@ForceFilingCode:true"</f>
        <v>!SPV.03.02.20.01 Rows {3}@ForceFilingCode:true</v>
      </c>
      <c r="M12" s="13" t="str">
        <f>Show!$B$196&amp;"SPV.03.02.20.01 Columns {"&amp;COLUMN($D$1)&amp;"}"</f>
        <v>!SPV.03.02.20.01 Columns {4}</v>
      </c>
    </row>
    <row r="13" spans="2:15">
      <c r="B13" s="43" t="s">
        <v>2880</v>
      </c>
      <c r="C13" s="44" t="s">
        <v>2878</v>
      </c>
      <c r="D13" s="46"/>
    </row>
    <row r="14" spans="2:15">
      <c r="B14" s="47" t="s">
        <v>3480</v>
      </c>
      <c r="C14" s="41" t="s">
        <v>2883</v>
      </c>
      <c r="D14" s="60"/>
    </row>
    <row r="16" spans="2:15">
      <c r="L16" s="13" t="str">
        <f>Show!$B$196&amp;Show!$B$196&amp;"SPV.03.02.20.01 Rows {"&amp;COLUMN($C$1)&amp;"}"</f>
        <v>!!SPV.03.02.20.01 Rows {3}</v>
      </c>
      <c r="M16" s="13" t="str">
        <f>Show!$B$196&amp;Show!$B$196&amp;"SPV.03.02.20.01 Columns {"&amp;COLUMN($D$1)&amp;"}"</f>
        <v>!!SPV.03.02.20.01 Columns {4}</v>
      </c>
    </row>
    <row r="18" spans="2:13" ht="18.75">
      <c r="B18" s="88" t="s">
        <v>6087</v>
      </c>
      <c r="C18" s="87"/>
      <c r="D18" s="87"/>
      <c r="E18" s="87"/>
      <c r="F18" s="87"/>
      <c r="G18" s="87"/>
      <c r="H18" s="87"/>
      <c r="I18" s="87"/>
      <c r="J18" s="87"/>
      <c r="K18" s="87"/>
      <c r="L18" s="87"/>
    </row>
    <row r="22" spans="2:13">
      <c r="B22" s="89" t="s">
        <v>6079</v>
      </c>
      <c r="C22" s="92" t="s">
        <v>2877</v>
      </c>
      <c r="D22" s="94"/>
    </row>
    <row r="23" spans="2:13">
      <c r="B23" s="90"/>
      <c r="C23" s="95"/>
      <c r="D23" s="97"/>
    </row>
    <row r="24" spans="2:13" ht="90">
      <c r="B24" s="91"/>
      <c r="C24" s="55" t="s">
        <v>6088</v>
      </c>
      <c r="D24" s="55" t="s">
        <v>6086</v>
      </c>
    </row>
    <row r="25" spans="2:13">
      <c r="B25" s="42" t="s">
        <v>2879</v>
      </c>
      <c r="C25" s="42" t="s">
        <v>3219</v>
      </c>
      <c r="D25" s="42" t="s">
        <v>3225</v>
      </c>
      <c r="L25" s="13" t="str">
        <f>Show!$B$196&amp;"SPV.03.02.20.02 Rows {"&amp;COLUMN($B$1)&amp;"}"&amp;"@ForceFilingCode:true"</f>
        <v>!SPV.03.02.20.02 Rows {2}@ForceFilingCode:true</v>
      </c>
      <c r="M25" s="13" t="str">
        <f>Show!$B$196&amp;"SPV.03.02.20.02 Columns {"&amp;COLUMN($B$1)&amp;"}"</f>
        <v>!SPV.03.02.20.02 Columns {2}</v>
      </c>
    </row>
    <row r="26" spans="2:13">
      <c r="B26" s="50"/>
      <c r="C26" s="51"/>
      <c r="D26" s="60"/>
    </row>
    <row r="28" spans="2:13">
      <c r="L28" s="13" t="str">
        <f>Show!$B$196&amp;Show!$B$196&amp;"SPV.03.02.20.02 Rows {"&amp;COLUMN($B$1)&amp;"}"</f>
        <v>!!SPV.03.02.20.02 Rows {2}</v>
      </c>
      <c r="M28" s="13" t="str">
        <f>Show!$B$196&amp;Show!$B$196&amp;"SPV.03.02.20.02 Columns {"&amp;COLUMN($D$1)&amp;"}"</f>
        <v>!!SPV.03.02.20.02 Columns {4}</v>
      </c>
    </row>
  </sheetData>
  <sheetProtection sheet="1" objects="1" scenarios="1"/>
  <mergeCells count="6">
    <mergeCell ref="B2:O2"/>
    <mergeCell ref="B5:L5"/>
    <mergeCell ref="D9:D10"/>
    <mergeCell ref="B18:L18"/>
    <mergeCell ref="B22:B24"/>
    <mergeCell ref="C22:D23"/>
  </mergeCells>
  <pageMargins left="0.7" right="0.7" top="0.75" bottom="0.75" header="0.3" footer="0.3"/>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34DCF-AE2F-4CDE-A956-20A4F3D76255}">
  <sheetPr codeName="Blad201"/>
  <dimension ref="B2:Y15"/>
  <sheetViews>
    <sheetView showGridLines="0" workbookViewId="0"/>
  </sheetViews>
  <sheetFormatPr defaultRowHeight="15"/>
  <cols>
    <col min="2" max="2" width="6.140625" bestFit="1" customWidth="1"/>
    <col min="3" max="5" width="15.7109375" customWidth="1"/>
    <col min="6" max="6" width="40.7109375" customWidth="1"/>
    <col min="7" max="7" width="15.7109375" customWidth="1"/>
    <col min="8" max="8" width="40.7109375" customWidth="1"/>
    <col min="9" max="13" width="15.7109375" customWidth="1"/>
  </cols>
  <sheetData>
    <row r="2" spans="2:25" ht="23.25">
      <c r="B2" s="86" t="s">
        <v>815</v>
      </c>
      <c r="C2" s="87"/>
      <c r="D2" s="87"/>
      <c r="E2" s="87"/>
      <c r="F2" s="87"/>
      <c r="G2" s="87"/>
      <c r="H2" s="87"/>
      <c r="I2" s="87"/>
      <c r="J2" s="87"/>
      <c r="K2" s="87"/>
      <c r="L2" s="87"/>
      <c r="M2" s="87"/>
      <c r="N2" s="87"/>
      <c r="O2" s="87"/>
    </row>
    <row r="5" spans="2:25" ht="18.75">
      <c r="B5" s="88" t="s">
        <v>6089</v>
      </c>
      <c r="C5" s="87"/>
      <c r="D5" s="87"/>
      <c r="E5" s="87"/>
      <c r="F5" s="87"/>
      <c r="G5" s="87"/>
      <c r="H5" s="87"/>
      <c r="I5" s="87"/>
      <c r="J5" s="87"/>
      <c r="K5" s="87"/>
      <c r="L5" s="87"/>
    </row>
    <row r="9" spans="2:25">
      <c r="B9" s="89" t="s">
        <v>6090</v>
      </c>
      <c r="C9" s="89" t="s">
        <v>6091</v>
      </c>
      <c r="D9" s="89" t="s">
        <v>6092</v>
      </c>
      <c r="E9" s="89" t="s">
        <v>6093</v>
      </c>
      <c r="F9" s="92" t="s">
        <v>2877</v>
      </c>
      <c r="G9" s="93"/>
      <c r="H9" s="93"/>
      <c r="I9" s="93"/>
      <c r="J9" s="93"/>
      <c r="K9" s="93"/>
      <c r="L9" s="93"/>
      <c r="M9" s="94"/>
    </row>
    <row r="10" spans="2:25">
      <c r="B10" s="90"/>
      <c r="C10" s="90"/>
      <c r="D10" s="90"/>
      <c r="E10" s="90"/>
      <c r="F10" s="95"/>
      <c r="G10" s="96"/>
      <c r="H10" s="96"/>
      <c r="I10" s="96"/>
      <c r="J10" s="96"/>
      <c r="K10" s="96"/>
      <c r="L10" s="96"/>
      <c r="M10" s="97"/>
    </row>
    <row r="11" spans="2:25">
      <c r="B11" s="91"/>
      <c r="C11" s="91"/>
      <c r="D11" s="91"/>
      <c r="E11" s="91"/>
      <c r="F11" s="55" t="s">
        <v>6094</v>
      </c>
      <c r="G11" s="55" t="s">
        <v>6095</v>
      </c>
      <c r="H11" s="55" t="s">
        <v>6096</v>
      </c>
      <c r="I11" s="55" t="s">
        <v>6097</v>
      </c>
      <c r="J11" s="55" t="s">
        <v>6098</v>
      </c>
      <c r="K11" s="55" t="s">
        <v>6099</v>
      </c>
      <c r="L11" s="55" t="s">
        <v>6100</v>
      </c>
      <c r="M11" s="55" t="s">
        <v>6101</v>
      </c>
    </row>
    <row r="12" spans="2:25">
      <c r="B12" s="42" t="s">
        <v>2879</v>
      </c>
      <c r="C12" s="42" t="s">
        <v>3219</v>
      </c>
      <c r="D12" s="42" t="s">
        <v>3225</v>
      </c>
      <c r="E12" s="42" t="s">
        <v>3223</v>
      </c>
      <c r="F12" s="42" t="s">
        <v>3229</v>
      </c>
      <c r="G12" s="42" t="s">
        <v>3231</v>
      </c>
      <c r="H12" s="42" t="s">
        <v>3233</v>
      </c>
      <c r="I12" s="42" t="s">
        <v>3234</v>
      </c>
      <c r="J12" s="42" t="s">
        <v>3236</v>
      </c>
      <c r="K12" s="42" t="s">
        <v>3239</v>
      </c>
      <c r="L12" s="42" t="s">
        <v>3241</v>
      </c>
      <c r="M12" s="42" t="s">
        <v>3243</v>
      </c>
      <c r="X12" s="13" t="str">
        <f>Show!$B$197&amp;"T.99.01.01.01 Rows {"&amp;COLUMN($B$1)&amp;"}"&amp;"@ForceFilingCode:true"</f>
        <v>!T.99.01.01.01 Rows {2}@ForceFilingCode:true</v>
      </c>
      <c r="Y12" s="13" t="str">
        <f>Show!$B$197&amp;"T.99.01.01.01 Columns {"&amp;COLUMN($B$1)&amp;"}"</f>
        <v>!T.99.01.01.01 Columns {2}</v>
      </c>
    </row>
    <row r="13" spans="2:25">
      <c r="B13" s="50"/>
      <c r="C13" s="50"/>
      <c r="D13" s="50"/>
      <c r="E13" s="50"/>
      <c r="F13" s="51"/>
      <c r="G13" s="60"/>
      <c r="H13" s="51"/>
      <c r="I13" s="54"/>
      <c r="J13" s="50"/>
      <c r="K13" s="69"/>
      <c r="L13" s="70"/>
      <c r="M13" s="50"/>
    </row>
    <row r="15" spans="2:25">
      <c r="X15" s="13" t="str">
        <f>Show!$B$197&amp;Show!$B$197&amp;"T.99.01.01.01 Rows {"&amp;COLUMN($B$1)&amp;"}"</f>
        <v>!!T.99.01.01.01 Rows {2}</v>
      </c>
      <c r="Y15" s="13" t="str">
        <f>Show!$B$197&amp;Show!$B$197&amp;"T.99.01.01.01 Columns {"&amp;COLUMN($M$1)&amp;"}"</f>
        <v>!!T.99.01.01.01 Columns {13}</v>
      </c>
    </row>
  </sheetData>
  <sheetProtection sheet="1" objects="1" scenarios="1"/>
  <mergeCells count="7">
    <mergeCell ref="B2:O2"/>
    <mergeCell ref="B5:L5"/>
    <mergeCell ref="B9:B11"/>
    <mergeCell ref="C9:C11"/>
    <mergeCell ref="D9:D11"/>
    <mergeCell ref="E9:E11"/>
    <mergeCell ref="F9:M10"/>
  </mergeCells>
  <dataValidations count="2">
    <dataValidation type="date" operator="greaterThan" allowBlank="1" showInputMessage="1" showErrorMessage="1" errorTitle="Date value" error="This cell can only contain dates" sqref="I13" xr:uid="{B417BB84-5018-4DB6-9837-E44DB88359E3}">
      <formula1>1</formula1>
    </dataValidation>
    <dataValidation type="list" errorStyle="warning" allowBlank="1" showInputMessage="1" showErrorMessage="1" sqref="M13" xr:uid="{B84F486D-B55E-4744-9BC9-76E0E3870BD5}">
      <formula1>"true,false"</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4796-DA0D-4B26-B9C0-129E1BE01FC4}">
  <sheetPr codeName="Blad21"/>
  <dimension ref="B2:O90"/>
  <sheetViews>
    <sheetView showGridLines="0" workbookViewId="0"/>
  </sheetViews>
  <sheetFormatPr defaultRowHeight="15"/>
  <cols>
    <col min="2" max="2" width="85.42578125" bestFit="1" customWidth="1"/>
    <col min="4" max="4" width="40.7109375" customWidth="1"/>
  </cols>
  <sheetData>
    <row r="2" spans="2:15" ht="23.25">
      <c r="B2" s="86" t="s">
        <v>528</v>
      </c>
      <c r="C2" s="87"/>
      <c r="D2" s="87"/>
      <c r="E2" s="87"/>
      <c r="F2" s="87"/>
      <c r="G2" s="87"/>
      <c r="H2" s="87"/>
      <c r="I2" s="87"/>
      <c r="J2" s="87"/>
      <c r="K2" s="87"/>
      <c r="L2" s="87"/>
      <c r="M2" s="87"/>
      <c r="N2" s="87"/>
      <c r="O2" s="87"/>
    </row>
    <row r="5" spans="2:15" ht="18.75">
      <c r="B5" s="88" t="s">
        <v>3156</v>
      </c>
      <c r="C5" s="87"/>
      <c r="D5" s="87"/>
      <c r="E5" s="87"/>
      <c r="F5" s="87"/>
      <c r="G5" s="87"/>
      <c r="H5" s="87"/>
      <c r="I5" s="87"/>
      <c r="J5" s="87"/>
      <c r="K5" s="87"/>
      <c r="L5" s="87"/>
    </row>
    <row r="9" spans="2:15">
      <c r="D9" s="89" t="s">
        <v>2877</v>
      </c>
    </row>
    <row r="10" spans="2:15">
      <c r="D10" s="90"/>
    </row>
    <row r="11" spans="2:15">
      <c r="D11" s="90"/>
    </row>
    <row r="12" spans="2:15">
      <c r="D12" s="91"/>
    </row>
    <row r="13" spans="2:15">
      <c r="D13" s="45" t="s">
        <v>2879</v>
      </c>
      <c r="I13" s="13" t="str">
        <f>IF(COUNTIF(D:D,"Reported")&gt;0,Show!$B$17,"!")&amp;"SE.01.01.16.01 Rows {"&amp;COLUMN($C$1)&amp;"}"&amp;"@ForceFilingCode:true"</f>
        <v>!SE.01.01.16.01 Rows {3}@ForceFilingCode:true</v>
      </c>
      <c r="J13" s="13" t="str">
        <f>IF(COUNTIF(D:D,"Reported")&gt;0,Show!$B$17,"!")&amp;"SE.01.01.16.01 Columns {"&amp;COLUMN($D$1)&amp;"}"</f>
        <v>!SE.01.01.16.01 Columns {4}</v>
      </c>
    </row>
    <row r="14" spans="2:15">
      <c r="B14" s="43" t="s">
        <v>2880</v>
      </c>
      <c r="C14" s="44" t="s">
        <v>2878</v>
      </c>
      <c r="D14" s="48"/>
    </row>
    <row r="15" spans="2:15">
      <c r="B15" s="47" t="s">
        <v>2881</v>
      </c>
      <c r="C15" s="44" t="s">
        <v>2878</v>
      </c>
      <c r="D15" s="46"/>
    </row>
    <row r="16" spans="2:15">
      <c r="B16" s="52" t="s">
        <v>2882</v>
      </c>
      <c r="C16" s="41" t="s">
        <v>2883</v>
      </c>
      <c r="D16" s="51"/>
    </row>
    <row r="17" spans="2:4">
      <c r="B17" s="52" t="s">
        <v>2884</v>
      </c>
      <c r="C17" s="41" t="s">
        <v>2885</v>
      </c>
      <c r="D17" s="51"/>
    </row>
    <row r="18" spans="2:4">
      <c r="B18" s="52" t="s">
        <v>3157</v>
      </c>
      <c r="C18" s="41" t="s">
        <v>3158</v>
      </c>
      <c r="D18" s="51"/>
    </row>
    <row r="19" spans="2:4">
      <c r="B19" s="52" t="s">
        <v>2888</v>
      </c>
      <c r="C19" s="41" t="s">
        <v>2889</v>
      </c>
      <c r="D19" s="51"/>
    </row>
    <row r="20" spans="2:4">
      <c r="B20" s="52" t="s">
        <v>2890</v>
      </c>
      <c r="C20" s="41" t="s">
        <v>2891</v>
      </c>
      <c r="D20" s="51"/>
    </row>
    <row r="21" spans="2:4" ht="30">
      <c r="B21" s="52" t="s">
        <v>2892</v>
      </c>
      <c r="C21" s="41" t="s">
        <v>2893</v>
      </c>
      <c r="D21" s="51"/>
    </row>
    <row r="22" spans="2:4" ht="30">
      <c r="B22" s="52" t="s">
        <v>2894</v>
      </c>
      <c r="C22" s="41" t="s">
        <v>2895</v>
      </c>
      <c r="D22" s="51"/>
    </row>
    <row r="23" spans="2:4">
      <c r="B23" s="52" t="s">
        <v>2896</v>
      </c>
      <c r="C23" s="41" t="s">
        <v>2897</v>
      </c>
      <c r="D23" s="51"/>
    </row>
    <row r="24" spans="2:4" ht="30">
      <c r="B24" s="52" t="s">
        <v>2898</v>
      </c>
      <c r="C24" s="41" t="s">
        <v>2899</v>
      </c>
      <c r="D24" s="51"/>
    </row>
    <row r="25" spans="2:4">
      <c r="B25" s="52" t="s">
        <v>2900</v>
      </c>
      <c r="C25" s="41" t="s">
        <v>2901</v>
      </c>
      <c r="D25" s="51"/>
    </row>
    <row r="26" spans="2:4">
      <c r="B26" s="52" t="s">
        <v>2902</v>
      </c>
      <c r="C26" s="41" t="s">
        <v>2903</v>
      </c>
      <c r="D26" s="51"/>
    </row>
    <row r="27" spans="2:4">
      <c r="B27" s="52" t="s">
        <v>2904</v>
      </c>
      <c r="C27" s="41" t="s">
        <v>2905</v>
      </c>
      <c r="D27" s="51"/>
    </row>
    <row r="28" spans="2:4">
      <c r="B28" s="52" t="s">
        <v>3159</v>
      </c>
      <c r="C28" s="41" t="s">
        <v>3160</v>
      </c>
      <c r="D28" s="51"/>
    </row>
    <row r="29" spans="2:4">
      <c r="B29" s="52" t="s">
        <v>2908</v>
      </c>
      <c r="C29" s="41" t="s">
        <v>2909</v>
      </c>
      <c r="D29" s="51"/>
    </row>
    <row r="30" spans="2:4">
      <c r="B30" s="52" t="s">
        <v>2910</v>
      </c>
      <c r="C30" s="41" t="s">
        <v>2911</v>
      </c>
      <c r="D30" s="51"/>
    </row>
    <row r="31" spans="2:4">
      <c r="B31" s="52" t="s">
        <v>2912</v>
      </c>
      <c r="C31" s="41" t="s">
        <v>2913</v>
      </c>
      <c r="D31" s="51"/>
    </row>
    <row r="32" spans="2:4">
      <c r="B32" s="52" t="s">
        <v>2914</v>
      </c>
      <c r="C32" s="41" t="s">
        <v>2915</v>
      </c>
      <c r="D32" s="51"/>
    </row>
    <row r="33" spans="2:4">
      <c r="B33" s="52" t="s">
        <v>2916</v>
      </c>
      <c r="C33" s="41" t="s">
        <v>2917</v>
      </c>
      <c r="D33" s="51"/>
    </row>
    <row r="34" spans="2:4">
      <c r="B34" s="52" t="s">
        <v>2918</v>
      </c>
      <c r="C34" s="41" t="s">
        <v>2919</v>
      </c>
      <c r="D34" s="51"/>
    </row>
    <row r="35" spans="2:4">
      <c r="B35" s="52" t="s">
        <v>2920</v>
      </c>
      <c r="C35" s="41" t="s">
        <v>2921</v>
      </c>
      <c r="D35" s="51"/>
    </row>
    <row r="36" spans="2:4">
      <c r="B36" s="52" t="s">
        <v>2922</v>
      </c>
      <c r="C36" s="41" t="s">
        <v>2923</v>
      </c>
      <c r="D36" s="51"/>
    </row>
    <row r="37" spans="2:4">
      <c r="B37" s="52" t="s">
        <v>2924</v>
      </c>
      <c r="C37" s="41" t="s">
        <v>2925</v>
      </c>
      <c r="D37" s="51"/>
    </row>
    <row r="38" spans="2:4">
      <c r="B38" s="52" t="s">
        <v>2926</v>
      </c>
      <c r="C38" s="41" t="s">
        <v>2927</v>
      </c>
      <c r="D38" s="51"/>
    </row>
    <row r="39" spans="2:4">
      <c r="B39" s="52" t="s">
        <v>2928</v>
      </c>
      <c r="C39" s="41" t="s">
        <v>2929</v>
      </c>
      <c r="D39" s="51"/>
    </row>
    <row r="40" spans="2:4">
      <c r="B40" s="52" t="s">
        <v>2930</v>
      </c>
      <c r="C40" s="41" t="s">
        <v>2931</v>
      </c>
      <c r="D40" s="51"/>
    </row>
    <row r="41" spans="2:4">
      <c r="B41" s="52" t="s">
        <v>2932</v>
      </c>
      <c r="C41" s="41" t="s">
        <v>2933</v>
      </c>
      <c r="D41" s="51"/>
    </row>
    <row r="42" spans="2:4">
      <c r="B42" s="52" t="s">
        <v>2934</v>
      </c>
      <c r="C42" s="41" t="s">
        <v>2935</v>
      </c>
      <c r="D42" s="51"/>
    </row>
    <row r="43" spans="2:4">
      <c r="B43" s="52" t="s">
        <v>2936</v>
      </c>
      <c r="C43" s="41" t="s">
        <v>2937</v>
      </c>
      <c r="D43" s="51"/>
    </row>
    <row r="44" spans="2:4">
      <c r="B44" s="52" t="s">
        <v>2938</v>
      </c>
      <c r="C44" s="41" t="s">
        <v>2939</v>
      </c>
      <c r="D44" s="51"/>
    </row>
    <row r="45" spans="2:4">
      <c r="B45" s="52" t="s">
        <v>2940</v>
      </c>
      <c r="C45" s="41" t="s">
        <v>2941</v>
      </c>
      <c r="D45" s="51"/>
    </row>
    <row r="46" spans="2:4">
      <c r="B46" s="52" t="s">
        <v>2942</v>
      </c>
      <c r="C46" s="41" t="s">
        <v>2943</v>
      </c>
      <c r="D46" s="51"/>
    </row>
    <row r="47" spans="2:4">
      <c r="B47" s="52" t="s">
        <v>2944</v>
      </c>
      <c r="C47" s="41" t="s">
        <v>2945</v>
      </c>
      <c r="D47" s="51"/>
    </row>
    <row r="48" spans="2:4">
      <c r="B48" s="52" t="s">
        <v>2946</v>
      </c>
      <c r="C48" s="41" t="s">
        <v>2947</v>
      </c>
      <c r="D48" s="51"/>
    </row>
    <row r="49" spans="2:4">
      <c r="B49" s="52" t="s">
        <v>2948</v>
      </c>
      <c r="C49" s="41" t="s">
        <v>2949</v>
      </c>
      <c r="D49" s="51"/>
    </row>
    <row r="50" spans="2:4">
      <c r="B50" s="52" t="s">
        <v>2950</v>
      </c>
      <c r="C50" s="41" t="s">
        <v>2951</v>
      </c>
      <c r="D50" s="51"/>
    </row>
    <row r="51" spans="2:4">
      <c r="B51" s="52" t="s">
        <v>2952</v>
      </c>
      <c r="C51" s="41" t="s">
        <v>2953</v>
      </c>
      <c r="D51" s="51"/>
    </row>
    <row r="52" spans="2:4">
      <c r="B52" s="52" t="s">
        <v>2954</v>
      </c>
      <c r="C52" s="41" t="s">
        <v>2955</v>
      </c>
      <c r="D52" s="51"/>
    </row>
    <row r="53" spans="2:4">
      <c r="B53" s="52" t="s">
        <v>2956</v>
      </c>
      <c r="C53" s="41" t="s">
        <v>2957</v>
      </c>
      <c r="D53" s="51"/>
    </row>
    <row r="54" spans="2:4">
      <c r="B54" s="52" t="s">
        <v>2958</v>
      </c>
      <c r="C54" s="41" t="s">
        <v>2959</v>
      </c>
      <c r="D54" s="51"/>
    </row>
    <row r="55" spans="2:4">
      <c r="B55" s="52" t="s">
        <v>2960</v>
      </c>
      <c r="C55" s="41" t="s">
        <v>2961</v>
      </c>
      <c r="D55" s="51"/>
    </row>
    <row r="56" spans="2:4">
      <c r="B56" s="52" t="s">
        <v>2962</v>
      </c>
      <c r="C56" s="41" t="s">
        <v>2963</v>
      </c>
      <c r="D56" s="51"/>
    </row>
    <row r="57" spans="2:4">
      <c r="B57" s="52" t="s">
        <v>2964</v>
      </c>
      <c r="C57" s="41" t="s">
        <v>2965</v>
      </c>
      <c r="D57" s="51"/>
    </row>
    <row r="58" spans="2:4">
      <c r="B58" s="52" t="s">
        <v>2966</v>
      </c>
      <c r="C58" s="41" t="s">
        <v>2967</v>
      </c>
      <c r="D58" s="51"/>
    </row>
    <row r="59" spans="2:4">
      <c r="B59" s="52" t="s">
        <v>2968</v>
      </c>
      <c r="C59" s="41" t="s">
        <v>2969</v>
      </c>
      <c r="D59" s="51"/>
    </row>
    <row r="60" spans="2:4">
      <c r="B60" s="52" t="s">
        <v>2970</v>
      </c>
      <c r="C60" s="41" t="s">
        <v>2971</v>
      </c>
      <c r="D60" s="51"/>
    </row>
    <row r="61" spans="2:4" ht="30">
      <c r="B61" s="52" t="s">
        <v>2972</v>
      </c>
      <c r="C61" s="41" t="s">
        <v>2973</v>
      </c>
      <c r="D61" s="51"/>
    </row>
    <row r="62" spans="2:4">
      <c r="B62" s="52" t="s">
        <v>2974</v>
      </c>
      <c r="C62" s="41" t="s">
        <v>2975</v>
      </c>
      <c r="D62" s="51"/>
    </row>
    <row r="63" spans="2:4">
      <c r="B63" s="52" t="s">
        <v>2976</v>
      </c>
      <c r="C63" s="41" t="s">
        <v>2977</v>
      </c>
      <c r="D63" s="51"/>
    </row>
    <row r="64" spans="2:4">
      <c r="B64" s="52" t="s">
        <v>2978</v>
      </c>
      <c r="C64" s="41" t="s">
        <v>2979</v>
      </c>
      <c r="D64" s="51"/>
    </row>
    <row r="65" spans="2:4">
      <c r="B65" s="52" t="s">
        <v>2980</v>
      </c>
      <c r="C65" s="41" t="s">
        <v>2981</v>
      </c>
      <c r="D65" s="51"/>
    </row>
    <row r="66" spans="2:4">
      <c r="B66" s="52" t="s">
        <v>2982</v>
      </c>
      <c r="C66" s="41" t="s">
        <v>2983</v>
      </c>
      <c r="D66" s="51"/>
    </row>
    <row r="67" spans="2:4">
      <c r="B67" s="52" t="s">
        <v>2984</v>
      </c>
      <c r="C67" s="41" t="s">
        <v>2985</v>
      </c>
      <c r="D67" s="51"/>
    </row>
    <row r="68" spans="2:4">
      <c r="B68" s="52" t="s">
        <v>2986</v>
      </c>
      <c r="C68" s="41" t="s">
        <v>2987</v>
      </c>
      <c r="D68" s="51"/>
    </row>
    <row r="69" spans="2:4">
      <c r="B69" s="52" t="s">
        <v>2988</v>
      </c>
      <c r="C69" s="41" t="s">
        <v>2989</v>
      </c>
      <c r="D69" s="51"/>
    </row>
    <row r="70" spans="2:4">
      <c r="B70" s="52" t="s">
        <v>2990</v>
      </c>
      <c r="C70" s="41" t="s">
        <v>2991</v>
      </c>
      <c r="D70" s="51"/>
    </row>
    <row r="71" spans="2:4" ht="30">
      <c r="B71" s="52" t="s">
        <v>2992</v>
      </c>
      <c r="C71" s="41" t="s">
        <v>2993</v>
      </c>
      <c r="D71" s="51"/>
    </row>
    <row r="72" spans="2:4">
      <c r="B72" s="52" t="s">
        <v>2994</v>
      </c>
      <c r="C72" s="41" t="s">
        <v>2995</v>
      </c>
      <c r="D72" s="51"/>
    </row>
    <row r="73" spans="2:4">
      <c r="B73" s="52" t="s">
        <v>2996</v>
      </c>
      <c r="C73" s="41" t="s">
        <v>2997</v>
      </c>
      <c r="D73" s="51"/>
    </row>
    <row r="74" spans="2:4" ht="30">
      <c r="B74" s="52" t="s">
        <v>2998</v>
      </c>
      <c r="C74" s="41" t="s">
        <v>2999</v>
      </c>
      <c r="D74" s="51"/>
    </row>
    <row r="75" spans="2:4">
      <c r="B75" s="52" t="s">
        <v>3000</v>
      </c>
      <c r="C75" s="41" t="s">
        <v>3001</v>
      </c>
      <c r="D75" s="51"/>
    </row>
    <row r="76" spans="2:4">
      <c r="B76" s="52" t="s">
        <v>3002</v>
      </c>
      <c r="C76" s="41" t="s">
        <v>3003</v>
      </c>
      <c r="D76" s="51"/>
    </row>
    <row r="77" spans="2:4">
      <c r="B77" s="52" t="s">
        <v>3004</v>
      </c>
      <c r="C77" s="41" t="s">
        <v>3005</v>
      </c>
      <c r="D77" s="51"/>
    </row>
    <row r="78" spans="2:4">
      <c r="B78" s="52" t="s">
        <v>3006</v>
      </c>
      <c r="C78" s="41" t="s">
        <v>3007</v>
      </c>
      <c r="D78" s="51"/>
    </row>
    <row r="79" spans="2:4">
      <c r="B79" s="52" t="s">
        <v>3008</v>
      </c>
      <c r="C79" s="41" t="s">
        <v>3009</v>
      </c>
      <c r="D79" s="51"/>
    </row>
    <row r="80" spans="2:4">
      <c r="B80" s="52" t="s">
        <v>3010</v>
      </c>
      <c r="C80" s="41" t="s">
        <v>3011</v>
      </c>
      <c r="D80" s="51"/>
    </row>
    <row r="81" spans="2:10">
      <c r="B81" s="52" t="s">
        <v>3012</v>
      </c>
      <c r="C81" s="41" t="s">
        <v>3013</v>
      </c>
      <c r="D81" s="51"/>
    </row>
    <row r="82" spans="2:10">
      <c r="B82" s="52" t="s">
        <v>3014</v>
      </c>
      <c r="C82" s="41" t="s">
        <v>3015</v>
      </c>
      <c r="D82" s="51"/>
    </row>
    <row r="83" spans="2:10">
      <c r="B83" s="52" t="s">
        <v>3016</v>
      </c>
      <c r="C83" s="41" t="s">
        <v>3017</v>
      </c>
      <c r="D83" s="51"/>
    </row>
    <row r="84" spans="2:10">
      <c r="B84" s="52" t="s">
        <v>3018</v>
      </c>
      <c r="C84" s="41" t="s">
        <v>3019</v>
      </c>
      <c r="D84" s="51"/>
    </row>
    <row r="85" spans="2:10">
      <c r="B85" s="52" t="s">
        <v>3020</v>
      </c>
      <c r="C85" s="41" t="s">
        <v>3021</v>
      </c>
      <c r="D85" s="51"/>
    </row>
    <row r="86" spans="2:10">
      <c r="B86" s="52" t="s">
        <v>3022</v>
      </c>
      <c r="C86" s="41" t="s">
        <v>3023</v>
      </c>
      <c r="D86" s="51"/>
    </row>
    <row r="87" spans="2:10">
      <c r="B87" s="52" t="s">
        <v>3161</v>
      </c>
      <c r="C87" s="41" t="s">
        <v>3162</v>
      </c>
      <c r="D87" s="51"/>
    </row>
    <row r="88" spans="2:10">
      <c r="B88" s="52" t="s">
        <v>3163</v>
      </c>
      <c r="C88" s="41" t="s">
        <v>3164</v>
      </c>
      <c r="D88" s="51"/>
    </row>
    <row r="89" spans="2:10">
      <c r="B89" s="52" t="s">
        <v>3165</v>
      </c>
      <c r="C89" s="41" t="s">
        <v>3166</v>
      </c>
      <c r="D89" s="51"/>
    </row>
    <row r="90" spans="2:10">
      <c r="I90" s="13" t="str">
        <f>IF(COUNTIF(D:D,"Reported")&gt;0,Show!$B$17&amp;Show!$B$17,"!!")&amp;"SE.01.01.16.01 Rows {"&amp;COLUMN($C$1)&amp;"}"</f>
        <v>!!SE.01.01.16.01 Rows {3}</v>
      </c>
      <c r="J90" s="13" t="str">
        <f>IF(COUNTIF(D:D,"Reported")&gt;0,Show!$B$17&amp;Show!$B$17,"!!")&amp;"SE.01.01.16.01 Columns {"&amp;COLUMN($D$1)&amp;"}"</f>
        <v>!!SE.01.01.16.01 Columns {4}</v>
      </c>
    </row>
  </sheetData>
  <sheetProtection sheet="1" objects="1" scenarios="1"/>
  <mergeCells count="3">
    <mergeCell ref="B2:O2"/>
    <mergeCell ref="B5:L5"/>
    <mergeCell ref="D9:D12"/>
  </mergeCells>
  <dataValidations count="52">
    <dataValidation type="list" errorStyle="warning" allowBlank="1" showInputMessage="1" showErrorMessage="1" sqref="D16" xr:uid="{CC26B00B-68D5-4F26-8749-6A29AD9F07EB}">
      <formula1>hier_CN_2</formula1>
    </dataValidation>
    <dataValidation type="list" errorStyle="warning" allowBlank="1" showInputMessage="1" showErrorMessage="1" sqref="D17" xr:uid="{A0248685-10E8-438E-B054-AEAE782C5D3C}">
      <formula1>hier_CN_14</formula1>
    </dataValidation>
    <dataValidation type="list" errorStyle="warning" allowBlank="1" showInputMessage="1" showErrorMessage="1" sqref="D18" xr:uid="{AF45E6D8-1730-4A41-8CA4-6FE7C4951B85}">
      <formula1>hier_CN_81</formula1>
    </dataValidation>
    <dataValidation type="list" errorStyle="warning" allowBlank="1" showInputMessage="1" showErrorMessage="1" sqref="D19" xr:uid="{F03635D8-ED84-4386-A972-126937F4CE7A}">
      <formula1>hier_CN_18</formula1>
    </dataValidation>
    <dataValidation type="list" errorStyle="warning" allowBlank="1" showInputMessage="1" showErrorMessage="1" sqref="D20" xr:uid="{722A080D-61ED-425F-8971-38EFF1EDC7B0}">
      <formula1>hier_CN_20</formula1>
    </dataValidation>
    <dataValidation type="list" errorStyle="warning" allowBlank="1" showInputMessage="1" showErrorMessage="1" sqref="D21" xr:uid="{F5A6F5AF-5C86-4341-B567-8534684C7A91}">
      <formula1>hier_CN_34</formula1>
    </dataValidation>
    <dataValidation type="list" errorStyle="warning" allowBlank="1" showInputMessage="1" showErrorMessage="1" sqref="D22" xr:uid="{9B818FB3-09C5-4B05-B1B1-696EC6EA7F0F}">
      <formula1>hier_CN_35</formula1>
    </dataValidation>
    <dataValidation type="list" errorStyle="warning" allowBlank="1" showInputMessage="1" showErrorMessage="1" sqref="D23" xr:uid="{7F008E82-5D1D-44D9-B837-AA785AA92493}">
      <formula1>hier_CN_36</formula1>
    </dataValidation>
    <dataValidation type="list" errorStyle="warning" allowBlank="1" showInputMessage="1" showErrorMessage="1" sqref="D24" xr:uid="{769BA45F-6E1B-474E-8A1E-0A3949F481AB}">
      <formula1>hier_CN_37</formula1>
    </dataValidation>
    <dataValidation type="list" errorStyle="warning" allowBlank="1" showInputMessage="1" showErrorMessage="1" sqref="D25 D55" xr:uid="{D698B581-0F18-4E30-91A5-40ABA8E03CD0}">
      <formula1>hier_CN_113</formula1>
    </dataValidation>
    <dataValidation type="list" errorStyle="warning" allowBlank="1" showInputMessage="1" showErrorMessage="1" sqref="D26" xr:uid="{6392F0F5-E8F6-489D-A82B-201AE9C3C4A5}">
      <formula1>hier_CN_116</formula1>
    </dataValidation>
    <dataValidation type="list" errorStyle="warning" allowBlank="1" showInputMessage="1" showErrorMessage="1" sqref="D27" xr:uid="{78AFB313-5B17-4416-95BF-0B27A7487319}">
      <formula1>hier_CN_27</formula1>
    </dataValidation>
    <dataValidation type="list" errorStyle="warning" allowBlank="1" showInputMessage="1" showErrorMessage="1" sqref="D28" xr:uid="{CB00698E-9FC3-49A9-BCA9-A5EE4A0FACA3}">
      <formula1>hier_CN_23</formula1>
    </dataValidation>
    <dataValidation type="list" errorStyle="warning" allowBlank="1" showInputMessage="1" showErrorMessage="1" sqref="D29" xr:uid="{F792F9B9-9651-48DB-8AA8-C1B4BCA59E46}">
      <formula1>hier_CN_117</formula1>
    </dataValidation>
    <dataValidation type="list" errorStyle="warning" allowBlank="1" showInputMessage="1" showErrorMessage="1" sqref="D30" xr:uid="{087197A3-1A97-4EE3-8458-0512776DD13D}">
      <formula1>hier_CN_120</formula1>
    </dataValidation>
    <dataValidation type="list" errorStyle="warning" allowBlank="1" showInputMessage="1" showErrorMessage="1" sqref="D31 D32" xr:uid="{9B9CE1BB-2736-443B-AAB3-96A0098343AB}">
      <formula1>hier_CN_28</formula1>
    </dataValidation>
    <dataValidation type="list" errorStyle="warning" allowBlank="1" showInputMessage="1" showErrorMessage="1" sqref="D33 D73 D74 D75 D76" xr:uid="{1BDB6942-D8EB-4F0F-AA1C-EA7937828631}">
      <formula1>hier_CN_15</formula1>
    </dataValidation>
    <dataValidation type="list" errorStyle="warning" allowBlank="1" showInputMessage="1" showErrorMessage="1" sqref="D34" xr:uid="{C72B70DF-762E-4AFD-A991-79F4B3C35EF9}">
      <formula1>hier_CN_39</formula1>
    </dataValidation>
    <dataValidation type="list" errorStyle="warning" allowBlank="1" showInputMessage="1" showErrorMessage="1" sqref="D35" xr:uid="{A9470DEC-1AB0-49CB-81F8-8CD15E9610AB}">
      <formula1>hier_CN_40</formula1>
    </dataValidation>
    <dataValidation type="list" errorStyle="warning" allowBlank="1" showInputMessage="1" showErrorMessage="1" sqref="D36" xr:uid="{C8F2F8FE-0423-4EB3-B264-06823FBC287E}">
      <formula1>hier_CN_83</formula1>
    </dataValidation>
    <dataValidation type="list" errorStyle="warning" allowBlank="1" showInputMessage="1" showErrorMessage="1" sqref="D37" xr:uid="{09834F7B-8360-495A-9DE7-EAB458E4F220}">
      <formula1>hier_CN_31</formula1>
    </dataValidation>
    <dataValidation type="list" errorStyle="warning" allowBlank="1" showInputMessage="1" showErrorMessage="1" sqref="D38 D39" xr:uid="{58D13404-0A52-46ED-9476-F4CDF68B257B}">
      <formula1>hier_CN_30</formula1>
    </dataValidation>
    <dataValidation type="list" errorStyle="warning" allowBlank="1" showInputMessage="1" showErrorMessage="1" sqref="D40 D41" xr:uid="{CD416F4E-E444-4358-B150-A84677A53F95}">
      <formula1>hier_CN_41</formula1>
    </dataValidation>
    <dataValidation type="list" errorStyle="warning" allowBlank="1" showInputMessage="1" showErrorMessage="1" sqref="D42" xr:uid="{5ABF9C48-3611-4830-BB29-E34F15590B30}">
      <formula1>hier_CN_42</formula1>
    </dataValidation>
    <dataValidation type="list" errorStyle="warning" allowBlank="1" showInputMessage="1" showErrorMessage="1" sqref="D43" xr:uid="{34557CBD-4D7E-4110-9020-56A0505E0008}">
      <formula1>hier_CN_84</formula1>
    </dataValidation>
    <dataValidation type="list" errorStyle="warning" allowBlank="1" showInputMessage="1" showErrorMessage="1" sqref="D44" xr:uid="{F94ED15A-2F02-44D9-9DE2-0360B049A704}">
      <formula1>hier_CN_33</formula1>
    </dataValidation>
    <dataValidation type="list" errorStyle="warning" allowBlank="1" showInputMessage="1" showErrorMessage="1" sqref="D45 D46" xr:uid="{1A40BBA5-0BA2-47DD-A6BD-90139A73018F}">
      <formula1>hier_CN_32</formula1>
    </dataValidation>
    <dataValidation type="list" errorStyle="warning" allowBlank="1" showInputMessage="1" showErrorMessage="1" sqref="D47 D48 D49 D50" xr:uid="{C9DD2355-395B-416C-96D0-443A5E413A28}">
      <formula1>hier_CN_123</formula1>
    </dataValidation>
    <dataValidation type="list" errorStyle="warning" allowBlank="1" showInputMessage="1" showErrorMessage="1" sqref="D51" xr:uid="{44762CE6-9BF6-4D6B-A0FD-07E84A9F8DA2}">
      <formula1>hier_CN_43</formula1>
    </dataValidation>
    <dataValidation type="list" errorStyle="warning" allowBlank="1" showInputMessage="1" showErrorMessage="1" sqref="D52 D53" xr:uid="{C67946BE-362A-42D5-9050-929794FFD201}">
      <formula1>hier_CN_45</formula1>
    </dataValidation>
    <dataValidation type="list" errorStyle="warning" allowBlank="1" showInputMessage="1" showErrorMessage="1" sqref="D54" xr:uid="{4B9B0920-AA7A-44F8-92D1-5237C5358EFC}">
      <formula1>hier_CN_112</formula1>
    </dataValidation>
    <dataValidation type="list" errorStyle="warning" allowBlank="1" showInputMessage="1" showErrorMessage="1" sqref="D56 D57 D58" xr:uid="{02EC273C-C056-409E-BC22-55457B08A159}">
      <formula1>hier_CN_1</formula1>
    </dataValidation>
    <dataValidation type="list" errorStyle="warning" allowBlank="1" showInputMessage="1" showErrorMessage="1" sqref="D59" xr:uid="{49752C0C-7D76-42F2-A2B5-BD0BBC5478AC}">
      <formula1>hier_CN_46</formula1>
    </dataValidation>
    <dataValidation type="list" errorStyle="warning" allowBlank="1" showInputMessage="1" showErrorMessage="1" sqref="D60" xr:uid="{4C8B8C23-1EB9-4CF1-B8EC-85506D3A8746}">
      <formula1>hier_CN_108</formula1>
    </dataValidation>
    <dataValidation type="list" errorStyle="warning" allowBlank="1" showInputMessage="1" showErrorMessage="1" sqref="D61" xr:uid="{4CC2C34F-3242-4830-9AE5-750BFAFD04B8}">
      <formula1>hier_CN_8</formula1>
    </dataValidation>
    <dataValidation type="list" errorStyle="warning" allowBlank="1" showInputMessage="1" showErrorMessage="1" sqref="D62" xr:uid="{34DD7901-BD53-457A-90D8-C5EF8F0BD570}">
      <formula1>hier_CN_9</formula1>
    </dataValidation>
    <dataValidation type="list" errorStyle="warning" allowBlank="1" showInputMessage="1" showErrorMessage="1" sqref="D63 D64 D65 D66 D67" xr:uid="{8EB6C3BB-2A61-4CE1-BC7C-31B0EC50A3F3}">
      <formula1>hier_CN_124</formula1>
    </dataValidation>
    <dataValidation type="list" errorStyle="warning" allowBlank="1" showInputMessage="1" showErrorMessage="1" sqref="D68" xr:uid="{A228C07D-243B-4852-A8A2-83C888C8E1B1}">
      <formula1>hier_CN_53</formula1>
    </dataValidation>
    <dataValidation type="list" errorStyle="warning" allowBlank="1" showInputMessage="1" showErrorMessage="1" sqref="D69" xr:uid="{3D10C4E0-28D4-4389-B797-D9EDD4EED139}">
      <formula1>hier_CN_55</formula1>
    </dataValidation>
    <dataValidation type="list" errorStyle="warning" allowBlank="1" showInputMessage="1" showErrorMessage="1" sqref="D70" xr:uid="{87D39525-6E84-4F8E-B99A-564CFD6CB369}">
      <formula1>hier_CN_51</formula1>
    </dataValidation>
    <dataValidation type="list" errorStyle="warning" allowBlank="1" showInputMessage="1" showErrorMessage="1" sqref="D71" xr:uid="{F9FA1459-E62F-44B3-92A5-9027233F0EBE}">
      <formula1>hier_CN_85</formula1>
    </dataValidation>
    <dataValidation type="list" errorStyle="warning" allowBlank="1" showInputMessage="1" showErrorMessage="1" sqref="D72" xr:uid="{5C3D8C97-4AEB-4A41-A735-FBA9FC70AFAB}">
      <formula1>hier_CN_86</formula1>
    </dataValidation>
    <dataValidation type="list" errorStyle="warning" allowBlank="1" showInputMessage="1" showErrorMessage="1" sqref="D77 D78" xr:uid="{69DEC770-1A23-492B-92FE-1E70C49CF46D}">
      <formula1>hier_CN_57</formula1>
    </dataValidation>
    <dataValidation type="list" errorStyle="warning" allowBlank="1" showInputMessage="1" showErrorMessage="1" sqref="D79 D80 D81" xr:uid="{C5BB817F-368F-4D9A-AA6B-2ED97FC0E625}">
      <formula1>hier_CN_58</formula1>
    </dataValidation>
    <dataValidation type="list" errorStyle="warning" allowBlank="1" showInputMessage="1" showErrorMessage="1" sqref="D82" xr:uid="{3A3100B6-0F67-4C55-B5E6-CE7265DE03E4}">
      <formula1>hier_CN_59</formula1>
    </dataValidation>
    <dataValidation type="list" errorStyle="warning" allowBlank="1" showInputMessage="1" showErrorMessage="1" sqref="D83" xr:uid="{42C0AB35-082A-43FE-B5F7-EF579A180B2E}">
      <formula1>hier_CN_60</formula1>
    </dataValidation>
    <dataValidation type="list" errorStyle="warning" allowBlank="1" showInputMessage="1" showErrorMessage="1" sqref="D84" xr:uid="{E81F1E0D-0B88-45A1-9BFF-D86982314EAD}">
      <formula1>hier_CN_62</formula1>
    </dataValidation>
    <dataValidation type="list" errorStyle="warning" allowBlank="1" showInputMessage="1" showErrorMessage="1" sqref="D85" xr:uid="{B4185677-56D8-45D5-9026-AA4C88F95FB0}">
      <formula1>hier_CN_64</formula1>
    </dataValidation>
    <dataValidation type="list" errorStyle="warning" allowBlank="1" showInputMessage="1" showErrorMessage="1" sqref="D86" xr:uid="{8452CAD0-A487-4BC9-B9F9-BFA8ADD7249D}">
      <formula1>hier_CN_66</formula1>
    </dataValidation>
    <dataValidation type="list" errorStyle="warning" allowBlank="1" showInputMessage="1" showErrorMessage="1" sqref="D87" xr:uid="{206089C1-C33A-4769-9036-502E35C37F5E}">
      <formula1>hier_CN_111</formula1>
    </dataValidation>
    <dataValidation type="list" errorStyle="warning" allowBlank="1" showInputMessage="1" showErrorMessage="1" sqref="D88" xr:uid="{E883742E-6457-48B6-A817-44B5707544FD}">
      <formula1>hier_CN_94</formula1>
    </dataValidation>
    <dataValidation type="list" errorStyle="warning" allowBlank="1" showInputMessage="1" showErrorMessage="1" sqref="D89" xr:uid="{2C38C886-2307-4791-ADC5-23F453BB271E}">
      <formula1>hier_CN_95</formula1>
    </dataValidation>
  </dataValidations>
  <hyperlinks>
    <hyperlink ref="B16" location="'S.01.02.01'!A1" display="S.01.02.01 - Basic Information - General" xr:uid="{773EF054-1BD4-437A-B416-6F3DCD533171}"/>
    <hyperlink ref="B17" location="'S.01.03.01'!A1" display="S.01.03.01 - Basic Information - RFF and matching adjustment portfolios" xr:uid="{15B393DA-9A5D-4B9E-BBF4-33AAE369F789}"/>
    <hyperlink ref="B18" location="'SE.02.01.16'!A1" display="SE.02.01.16 - Balance Sheet" xr:uid="{902FA19D-51BB-422C-8679-8241D71472F6}"/>
    <hyperlink ref="B19" location="'S.02.02.01'!A1" display="S.02.02.01 - Assets and liabilities by currency" xr:uid="{8319C7BE-BDC2-4146-91A1-BB959294BB26}"/>
    <hyperlink ref="B20" location="'S.03.01.01'!A1" display="S.03.01.01 - Off-balance sheet items - general" xr:uid="{C4EBA2B3-311E-47ED-8E1B-374FA38637AC}"/>
    <hyperlink ref="B21" location="'S.03.02.01'!A1" display="S.03.02.01 - Off-balance sheet items - List of unlimited guarantees received by the undertaking" xr:uid="{1C68ABFD-B39E-4868-95C8-8E3FF0364312}"/>
    <hyperlink ref="B22" location="'S.03.03.01'!A1" display="S.03.03.01 - Off-balance sheet items - List of unlimited guarantees provided by the undertaking" xr:uid="{87029A59-BB4D-4444-A6B9-C2097EC24C3F}"/>
    <hyperlink ref="B23" location="'S.04.01.01'!A1" display="S.04.01.01 - Activity by country" xr:uid="{8CD58101-10C5-4F39-A220-D24D4ACF8571}"/>
    <hyperlink ref="B24" location="'S.04.02.01'!A1" display="S.04.02.01 - Information on class 10 in Part A of Annex I of Solvency II Directive, excluding carrier's liability" xr:uid="{71F21A66-2C5F-4F09-B240-7D408C96490F}"/>
    <hyperlink ref="B25" location="'S.05.01.01'!A1" display="S.05.01.01 - Premiums, claims and expenses by line of business" xr:uid="{6D0F0939-4693-4EC6-A0CF-C92074BAC614}"/>
    <hyperlink ref="B26" location="'S.05.02.01'!A1" display="S.05.02.01 - Premiums, claims and expenses by country" xr:uid="{EEED9A19-3ECF-4EE0-8E43-8A32FF7B00D2}"/>
    <hyperlink ref="B27" location="'S.06.01.01'!A1" display="S.06.01.01 - Summary of assets" xr:uid="{4AA9CD05-04FF-4CAD-ADE4-C5A19626022D}"/>
    <hyperlink ref="B28" location="'SE.06.02.16'!A1" display="SE.06.02.16 - List of assets" xr:uid="{000D88EA-A95A-4C4B-A40D-CC9034FF12CE}"/>
    <hyperlink ref="B29" location="'S.06.03.01'!A1" display="S.06.03.01 - Collective investment undertakings - look-through approach" xr:uid="{928D6E8E-0BEB-44DC-881D-CD25109EE2D9}"/>
    <hyperlink ref="B30" location="'S.07.01.01'!A1" display="S.07.01.01 - Structured products" xr:uid="{CD6F2014-B49C-4FE1-90C0-6F79AEFA07DF}"/>
    <hyperlink ref="B31" location="'S.08.01.01'!A1" display="S.08.01.01 - Open derivatives" xr:uid="{78346282-D6EF-40DF-BD2F-F074FFA2655B}"/>
    <hyperlink ref="B32" location="'S.08.02.01'!A1" display="S.08.02.01 - Derivatives Transactions" xr:uid="{2B2C180C-0E26-46AC-9366-43B35AF7E15A}"/>
    <hyperlink ref="B33" location="'S.09.01.01'!A1" display="S.09.01.01 - Income/gains and losses in the period" xr:uid="{5CD5740A-2B43-41D0-AE53-769E35127A56}"/>
    <hyperlink ref="B34" location="'S.10.01.01'!A1" display="S.10.01.01 - Securities lending and repos" xr:uid="{6BE6C154-9197-4651-BB11-54922679685F}"/>
    <hyperlink ref="B35" location="'S.11.01.01'!A1" display="S.11.01.01 - Assets held as collateral" xr:uid="{CC7E8F45-00F4-4606-B313-D1962F01F573}"/>
    <hyperlink ref="B36" location="'S.12.01.01'!A1" display="S.12.01.01 - Life and Health SLT Technical Provisions" xr:uid="{3115F358-C610-472E-9A68-3A4C99C6E230}"/>
    <hyperlink ref="B37" location="'S.12.02.01'!A1" display="S.12.02.01 - Life and Health SLT Technical Provisions - by country" xr:uid="{9250A75A-1AD0-49EA-8200-44E140FC39D4}"/>
    <hyperlink ref="B38" location="'S.13.01.01'!A1" display="S.13.01.01 - Projection of future gross cash flows" xr:uid="{1FC27925-855B-4DD4-8514-2D802BD16707}"/>
    <hyperlink ref="B39" location="'S.14.01.01'!A1" display="S.14.01.01 - Life obligations analysis" xr:uid="{968FCF55-1017-47D2-9518-7C455E86DDDE}"/>
    <hyperlink ref="B40" location="'S.15.01.01'!A1" display="S.15.01.01 - Description of the guarantees of variable annuities" xr:uid="{3DFBC3D7-5AE6-4FA7-93C4-5DE409AD92D3}"/>
    <hyperlink ref="B41" location="'S.15.02.01'!A1" display="S.15.02.01 - Hedging of guarantees of variable annuities" xr:uid="{387AA4F2-A323-4CFE-A758-58C7A847C43E}"/>
    <hyperlink ref="B42" location="'S.16.01.01'!A1" display="S.16.01.01 - Information on annuities stemming from Non-Life Insurance obligations" xr:uid="{A2AB0860-1F3C-4796-88DD-22ED7221E219}"/>
    <hyperlink ref="B43" location="'S.17.01.01'!A1" display="S.17.01.01 - Non-Life Technical Provisions" xr:uid="{B05B5272-CA24-4A9E-A27A-DEED6D001657}"/>
    <hyperlink ref="B44" location="'S.17.02.01'!A1" display="S.17.02.01 - Non-Life Technical Provisions - By country" xr:uid="{4E570CA1-43F4-4116-9B65-5B991E4ADECD}"/>
    <hyperlink ref="B45" location="'S.18.01.01'!A1" display="S.18.01.01 - Projection of future cash flows (Best Estimate - Non Life)" xr:uid="{68EC2F77-5D5C-4C48-964D-C3A6569CA853}"/>
    <hyperlink ref="B46" location="'S.19.01.01'!A1" display="S.19.01.01 - Non-life insurance claims" xr:uid="{274E0E7B-D2EB-41DE-825B-68DEBEED8A73}"/>
    <hyperlink ref="B47" location="'S.20.01.01'!A1" display="S.20.01.01 - Development of the distribution of the claims incurred" xr:uid="{09DF3E83-9814-4CEE-A242-0BAF8D12AB66}"/>
    <hyperlink ref="B48" location="'S.21.01.01'!A1" display="S.21.01.01 - Loss distribution risk profile" xr:uid="{9065D69C-C5F9-4217-BF07-BAFF7D585E3D}"/>
    <hyperlink ref="B49" location="'S.21.02.01'!A1" display="S.21.02.01 - Underwriting risks non-life" xr:uid="{0220C2CF-A669-42B3-B4EB-2B677C0A8207}"/>
    <hyperlink ref="B50" location="'S.21.03.01'!A1" display="S.21.03.01 - Non-life distribution of underwriting risks - by sum insured" xr:uid="{5C865A10-39FE-4EC5-99C3-45AA3AC97DF6}"/>
    <hyperlink ref="B51" location="'S.22.01.01'!A1" display="S.22.01.01 - Impact of long term guarantees measures and transitionals" xr:uid="{AF72CF36-FEB2-44F0-844C-E5E94B0115F9}"/>
    <hyperlink ref="B52" location="'S.22.04.01'!A1" display="S.22.04.01 - Information on the transitional on interest rates calculation" xr:uid="{9593CE65-477F-46CA-A344-A03812841690}"/>
    <hyperlink ref="B53" location="'S.22.05.01'!A1" display="S.22.05.01 - Overall calculation of the transitional on technical provisions" xr:uid="{D4F24CEC-709A-44CE-8EA1-934F3B86BF56}"/>
    <hyperlink ref="B54" location="'S.22.06.01'!A1" display="S.22.06.01 - Best estimate subject to volatility adjustment by country and currency" xr:uid="{40026E5B-446C-47CD-A103-5C46BD36DA24}"/>
    <hyperlink ref="B55" location="'S.23.01.01'!A1" display="S.23.01.01 - Own funds" xr:uid="{71CFBB14-B956-4634-B400-0D4519CEEAE7}"/>
    <hyperlink ref="B56" location="'S.23.02.01'!A1" display="S.23.02.01 - Detailed information by tiers on own funds" xr:uid="{2AE841C9-BC3E-4677-96CD-E7A9A1E451B9}"/>
    <hyperlink ref="B57" location="'S.23.03.01'!A1" display="S.23.03.01 - Annual movements on own funds" xr:uid="{FADDBA1C-27CD-47DE-A32E-1C6054A32A06}"/>
    <hyperlink ref="B58" location="'S.23.04.01'!A1" display="S.23.04.01 - List of items on own funds" xr:uid="{0ACBE780-9DFA-4F6D-BF81-01792BEC01E0}"/>
    <hyperlink ref="B59" location="'S.24.01.01'!A1" display="S.24.01.01 - Participations held" xr:uid="{F1A41369-9D62-4F9F-9A7A-5DB06C9FC1CD}"/>
    <hyperlink ref="B60" location="'S.25.01.01'!A1" display="S.25.01.01 - Solvency Capital Requirement - for undertakings on Standard Formula" xr:uid="{0D5CE158-137F-4EC7-A35B-010B0CD3A293}"/>
    <hyperlink ref="B61" location="'S.25.02.01'!A1" display="S.25.02.01 - Solvency Capital Requirement - for undertakings using the standard formula and partial internal model" xr:uid="{65EE77DF-7032-496E-88F5-534168018584}"/>
    <hyperlink ref="B62" location="'S.25.03.01'!A1" display="S.25.03.01 - Solvency Capital Requirement - for undertakings on Full Internal Models" xr:uid="{61B5E0ED-7D9A-496D-B1C8-A5EA724CBC7A}"/>
    <hyperlink ref="B63" location="'S.26.01.01'!A1" display="S.26.01.01 - Solvency Capital Requirement - Market risk" xr:uid="{72E3AD72-3ACB-41BB-88A8-15F0444617EB}"/>
    <hyperlink ref="B64" location="'S.26.02.01'!A1" display="S.26.02.01 - Solvency Capital Requirement - Counterparty default risk" xr:uid="{EF7CDDF2-BCBA-421D-A3C2-786ED1C15ED6}"/>
    <hyperlink ref="B65" location="'S.26.03.01'!A1" display="S.26.03.01 - Solvency Capital Requirement - Life underwriting risk" xr:uid="{140A660C-85CF-4262-8D6C-A3F26435D2A1}"/>
    <hyperlink ref="B66" location="'S.26.04.01'!A1" display="S.26.04.01 - Solvency Capital Requirement - Health underwriting risk" xr:uid="{48A0928C-D8B9-459C-AA65-86EB4634C113}"/>
    <hyperlink ref="B67" location="'S.26.05.01'!A1" display="S.26.05.01 - Solvency Capital Requirement - Non-Life underwriting risk" xr:uid="{5B35F3C6-DE5E-4D5E-A29F-8771836068B5}"/>
    <hyperlink ref="B68" location="'S.26.06.01'!A1" display="S.26.06.01 - Solvency Capital Requirement - Operational risk" xr:uid="{4451B892-DC17-4E1D-A1AC-DDE528B2AA87}"/>
    <hyperlink ref="B69" location="'S.26.07.01'!A1" display="S.26.07.01 - Solvency Capital Requirement - Simplifications" xr:uid="{CF6DF5DB-A7A6-4D1D-A89D-530083337A07}"/>
    <hyperlink ref="B70" location="'S.27.01.01'!A1" display="S.27.01.01 - Solvency Capital Requirement - Non-life and Health catastrophe risk" xr:uid="{0504D96B-DB9B-4590-AD37-292EF81AC1A0}"/>
    <hyperlink ref="B71" location="'S.28.01.01'!A1" display="S.28.01.01 - Minimum Capital Requirement - Only life or only non-life insurance or reinsurance activity" xr:uid="{02DD8B7B-34BE-4A72-B489-2B00A3425E29}"/>
    <hyperlink ref="B72" location="'S.28.02.01'!A1" display="S.28.02.01 - Minimum Capital Requirement - Both life and non-life insurance activity" xr:uid="{097DD613-358D-4D12-B051-B7BB5BA541E3}"/>
    <hyperlink ref="B73" location="'S.29.01.01'!A1" display="S.29.01.01 - Excess of Assets over Liabilities" xr:uid="{8BF7F45E-5044-49C9-ABA1-601258651DAE}"/>
    <hyperlink ref="B74" location="'S.29.02.01'!A1" display="S.29.02.01 - Excess of Assets over Liabilities - explained by investments and financial liabilities" xr:uid="{8A56CA2E-DED9-4A5C-B98D-A38C45DA06BD}"/>
    <hyperlink ref="B75" location="'S.29.03.01'!A1" display="S.29.03.01 - Excess of Assets over Liabilities - explained by technical provisions" xr:uid="{E636A90C-5A91-4E71-890A-0E9E278009F2}"/>
    <hyperlink ref="B76" location="'S.29.04.01'!A1" display="S.29.04.01 - Detailed analysis per period - Technical flows versus Technical provisions" xr:uid="{39F60851-14DE-4CCD-9726-7722FD5B22FB}"/>
    <hyperlink ref="B77" location="'S.30.01.01'!A1" display="S.30.01.01 - Facultative covers for non-life and life business basic data" xr:uid="{614AF1E9-3912-4C76-84E3-6C70C5BC4014}"/>
    <hyperlink ref="B78" location="'S.30.02.01'!A1" display="S.30.02.01 - Facultative covers for non-life and life business shares data" xr:uid="{192503C6-F748-4C5C-B63D-C8EA34C74664}"/>
    <hyperlink ref="B79" location="'S.30.03.01'!A1" display="S.30.03.01 - Outgoing Reinsurance Program basic data" xr:uid="{F03D9835-D47A-4B51-BBA4-CE1FA20592C4}"/>
    <hyperlink ref="B80" location="'S.30.04.01'!A1" display="S.30.04.01 - Outgoing Reinsurance Program shares data" xr:uid="{9417B698-E961-41D1-A0B5-A13D4ED9CD41}"/>
    <hyperlink ref="B81" location="'S.31.01.01'!A1" display="S.31.01.01 - Share of reinsurers (including Finite Reinsurance and SPV's)" xr:uid="{F2E1A208-4BF3-4B3C-B5A1-E1104165381D}"/>
    <hyperlink ref="B82" location="'S.31.02.01'!A1" display="S.31.02.01 - Special Purpose Vehicles" xr:uid="{50408A8A-94E9-4DFC-A012-A44AF5A0A7D0}"/>
    <hyperlink ref="B83" location="'S.36.01.01'!A1" display="S.36.01.01 - IGT - Equity-type transactions, debt and asset transfer" xr:uid="{7063FC2D-7C7A-47B9-8749-15D66D57BF74}"/>
    <hyperlink ref="B84" location="'S.36.02.01'!A1" display="S.36.02.01 - IGT - Derivatives" xr:uid="{2027D874-F189-4E71-8C5F-8306EBC42E2C}"/>
    <hyperlink ref="B85" location="'S.36.03.01'!A1" display="S.36.03.01 - IGT - Internal reinsurance" xr:uid="{467F5B0D-649A-4DB7-AA47-9F8EBE0637A4}"/>
    <hyperlink ref="B86" location="'S.36.04.01'!A1" display="S.36.04.01 - IGT - Cost Sharing, contingent liabilities, off BS and other items" xr:uid="{7C36F430-8D83-418B-B27D-C5B8DAF5B7F5}"/>
    <hyperlink ref="B87" location="'E.01.01.16'!A1" display="E.01.01.16 - Deposits to cedants - line-by-line reporting" xr:uid="{BE9E861D-5553-49F6-A968-0F0470C0062C}"/>
    <hyperlink ref="B88" location="'E.02.01.16'!A1" display="E.02.01.16 - Pension entitlements" xr:uid="{59DC9581-AE3A-4883-A992-E85180785F99}"/>
    <hyperlink ref="B89" location="'E.03.01.16'!A1" display="E.03.01.16 - Non-life Technical Provisions - reinsurance policies - By country" xr:uid="{CE492E61-6BC8-459F-82A6-D600A473B396}"/>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31136-938D-4B2F-8DE4-65F658F20BE7}">
  <sheetPr codeName="Blad22"/>
  <dimension ref="B2:O29"/>
  <sheetViews>
    <sheetView showGridLines="0" workbookViewId="0"/>
  </sheetViews>
  <sheetFormatPr defaultRowHeight="15"/>
  <cols>
    <col min="2" max="2" width="81.140625" bestFit="1" customWidth="1"/>
    <col min="4" max="4" width="40.7109375" customWidth="1"/>
  </cols>
  <sheetData>
    <row r="2" spans="2:15" ht="23.25">
      <c r="B2" s="86" t="s">
        <v>530</v>
      </c>
      <c r="C2" s="87"/>
      <c r="D2" s="87"/>
      <c r="E2" s="87"/>
      <c r="F2" s="87"/>
      <c r="G2" s="87"/>
      <c r="H2" s="87"/>
      <c r="I2" s="87"/>
      <c r="J2" s="87"/>
      <c r="K2" s="87"/>
      <c r="L2" s="87"/>
      <c r="M2" s="87"/>
      <c r="N2" s="87"/>
      <c r="O2" s="87"/>
    </row>
    <row r="5" spans="2:15" ht="18.75">
      <c r="B5" s="88" t="s">
        <v>3167</v>
      </c>
      <c r="C5" s="87"/>
      <c r="D5" s="87"/>
      <c r="E5" s="87"/>
      <c r="F5" s="87"/>
      <c r="G5" s="87"/>
      <c r="H5" s="87"/>
      <c r="I5" s="87"/>
      <c r="J5" s="87"/>
      <c r="K5" s="87"/>
      <c r="L5" s="87"/>
    </row>
    <row r="9" spans="2:15">
      <c r="D9" s="89" t="s">
        <v>2877</v>
      </c>
    </row>
    <row r="10" spans="2:15">
      <c r="D10" s="90"/>
    </row>
    <row r="11" spans="2:15">
      <c r="D11" s="90"/>
    </row>
    <row r="12" spans="2:15">
      <c r="D12" s="91"/>
    </row>
    <row r="13" spans="2:15">
      <c r="D13" s="45" t="s">
        <v>2879</v>
      </c>
      <c r="I13" s="13" t="str">
        <f>IF(COUNTIF(D:D,"Reported")&gt;0,Show!$B$18,"!")&amp;"SE.01.01.17.01 Rows {"&amp;COLUMN($C$1)&amp;"}"&amp;"@ForceFilingCode:true"</f>
        <v>!SE.01.01.17.01 Rows {3}@ForceFilingCode:true</v>
      </c>
      <c r="J13" s="13" t="str">
        <f>IF(COUNTIF(D:D,"Reported")&gt;0,Show!$B$18,"!")&amp;"SE.01.01.17.01 Columns {"&amp;COLUMN($D$1)&amp;"}"</f>
        <v>!SE.01.01.17.01 Columns {4}</v>
      </c>
    </row>
    <row r="14" spans="2:15">
      <c r="B14" s="43" t="s">
        <v>2880</v>
      </c>
      <c r="C14" s="44" t="s">
        <v>2878</v>
      </c>
      <c r="D14" s="48"/>
    </row>
    <row r="15" spans="2:15">
      <c r="B15" s="47" t="s">
        <v>2881</v>
      </c>
      <c r="C15" s="44" t="s">
        <v>2878</v>
      </c>
      <c r="D15" s="46"/>
    </row>
    <row r="16" spans="2:15">
      <c r="B16" s="52" t="s">
        <v>2882</v>
      </c>
      <c r="C16" s="41" t="s">
        <v>2883</v>
      </c>
      <c r="D16" s="51"/>
    </row>
    <row r="17" spans="2:10">
      <c r="B17" s="52" t="s">
        <v>3168</v>
      </c>
      <c r="C17" s="41" t="s">
        <v>3158</v>
      </c>
      <c r="D17" s="51"/>
    </row>
    <row r="18" spans="2:10">
      <c r="B18" s="52" t="s">
        <v>3026</v>
      </c>
      <c r="C18" s="41" t="s">
        <v>2901</v>
      </c>
      <c r="D18" s="51"/>
    </row>
    <row r="19" spans="2:10">
      <c r="B19" s="52" t="s">
        <v>3159</v>
      </c>
      <c r="C19" s="41" t="s">
        <v>3160</v>
      </c>
      <c r="D19" s="51"/>
    </row>
    <row r="20" spans="2:10">
      <c r="B20" s="52" t="s">
        <v>2908</v>
      </c>
      <c r="C20" s="41" t="s">
        <v>2909</v>
      </c>
      <c r="D20" s="51"/>
    </row>
    <row r="21" spans="2:10">
      <c r="B21" s="52" t="s">
        <v>2912</v>
      </c>
      <c r="C21" s="41" t="s">
        <v>2913</v>
      </c>
      <c r="D21" s="51"/>
    </row>
    <row r="22" spans="2:10">
      <c r="B22" s="52" t="s">
        <v>2914</v>
      </c>
      <c r="C22" s="41" t="s">
        <v>2915</v>
      </c>
      <c r="D22" s="51"/>
    </row>
    <row r="23" spans="2:10">
      <c r="B23" s="52" t="s">
        <v>3027</v>
      </c>
      <c r="C23" s="41" t="s">
        <v>2923</v>
      </c>
      <c r="D23" s="51"/>
    </row>
    <row r="24" spans="2:10">
      <c r="B24" s="52" t="s">
        <v>3028</v>
      </c>
      <c r="C24" s="41" t="s">
        <v>2937</v>
      </c>
      <c r="D24" s="51"/>
    </row>
    <row r="25" spans="2:10">
      <c r="B25" s="52" t="s">
        <v>2960</v>
      </c>
      <c r="C25" s="41" t="s">
        <v>2961</v>
      </c>
      <c r="D25" s="51"/>
    </row>
    <row r="26" spans="2:10" ht="30">
      <c r="B26" s="52" t="s">
        <v>2992</v>
      </c>
      <c r="C26" s="41" t="s">
        <v>2993</v>
      </c>
      <c r="D26" s="51"/>
    </row>
    <row r="27" spans="2:10">
      <c r="B27" s="52" t="s">
        <v>2994</v>
      </c>
      <c r="C27" s="41" t="s">
        <v>2995</v>
      </c>
      <c r="D27" s="51"/>
    </row>
    <row r="28" spans="2:10">
      <c r="B28" s="52" t="s">
        <v>3161</v>
      </c>
      <c r="C28" s="41" t="s">
        <v>3162</v>
      </c>
      <c r="D28" s="51"/>
    </row>
    <row r="29" spans="2:10">
      <c r="I29" s="13" t="str">
        <f>IF(COUNTIF(D:D,"Reported")&gt;0,Show!$B$18&amp;Show!$B$18,"!!")&amp;"SE.01.01.17.01 Rows {"&amp;COLUMN($C$1)&amp;"}"</f>
        <v>!!SE.01.01.17.01 Rows {3}</v>
      </c>
      <c r="J29" s="13" t="str">
        <f>IF(COUNTIF(D:D,"Reported")&gt;0,Show!$B$18&amp;Show!$B$18,"!!")&amp;"SE.01.01.17.01 Columns {"&amp;COLUMN($D$1)&amp;"}"</f>
        <v>!!SE.01.01.17.01 Columns {4}</v>
      </c>
    </row>
  </sheetData>
  <sheetProtection sheet="1" objects="1" scenarios="1"/>
  <mergeCells count="3">
    <mergeCell ref="B2:O2"/>
    <mergeCell ref="B5:L5"/>
    <mergeCell ref="D9:D12"/>
  </mergeCells>
  <dataValidations count="11">
    <dataValidation type="list" errorStyle="warning" allowBlank="1" showInputMessage="1" showErrorMessage="1" sqref="D16" xr:uid="{D8C16BFF-A658-47DC-8196-EF5383CD546A}">
      <formula1>hier_CN_2</formula1>
    </dataValidation>
    <dataValidation type="list" errorStyle="warning" allowBlank="1" showInputMessage="1" showErrorMessage="1" sqref="D17" xr:uid="{1B9F2D78-69C4-4239-A91F-B58C16C67FE0}">
      <formula1>hier_CN_81</formula1>
    </dataValidation>
    <dataValidation type="list" errorStyle="warning" allowBlank="1" showInputMessage="1" showErrorMessage="1" sqref="D18 D25" xr:uid="{92770C3C-8861-4550-B7A1-496A8D42EA64}">
      <formula1>hier_CN_113</formula1>
    </dataValidation>
    <dataValidation type="list" errorStyle="warning" allowBlank="1" showInputMessage="1" showErrorMessage="1" sqref="D19" xr:uid="{90F58769-40CD-4EFD-B48E-1CC6B81281CD}">
      <formula1>hier_CN_23</formula1>
    </dataValidation>
    <dataValidation type="list" errorStyle="warning" allowBlank="1" showInputMessage="1" showErrorMessage="1" sqref="D20" xr:uid="{1E10692A-048D-43CD-9B1F-B75C5C0E9060}">
      <formula1>hier_CN_117</formula1>
    </dataValidation>
    <dataValidation type="list" errorStyle="warning" allowBlank="1" showInputMessage="1" showErrorMessage="1" sqref="D21 D22" xr:uid="{B4DD8A57-BA23-42A5-BC92-0612B8330724}">
      <formula1>hier_CN_28</formula1>
    </dataValidation>
    <dataValidation type="list" errorStyle="warning" allowBlank="1" showInputMessage="1" showErrorMessage="1" sqref="D23" xr:uid="{A1461CA6-05B0-4FEC-833A-F3EC562045A3}">
      <formula1>hier_CN_83</formula1>
    </dataValidation>
    <dataValidation type="list" errorStyle="warning" allowBlank="1" showInputMessage="1" showErrorMessage="1" sqref="D24" xr:uid="{374B7277-FAFE-479A-B073-07B06F29BFCA}">
      <formula1>hier_CN_84</formula1>
    </dataValidation>
    <dataValidation type="list" errorStyle="warning" allowBlank="1" showInputMessage="1" showErrorMessage="1" sqref="D26" xr:uid="{7CB8054A-8C81-4762-A7C5-4B6DCA7896EB}">
      <formula1>hier_CN_85</formula1>
    </dataValidation>
    <dataValidation type="list" errorStyle="warning" allowBlank="1" showInputMessage="1" showErrorMessage="1" sqref="D27" xr:uid="{68F520D8-EC78-43F0-8A66-060564CB07DA}">
      <formula1>hier_CN_86</formula1>
    </dataValidation>
    <dataValidation type="list" errorStyle="warning" allowBlank="1" showInputMessage="1" showErrorMessage="1" sqref="D28" xr:uid="{665B1B9D-8730-4AF3-80ED-DCFF4F14518D}">
      <formula1>hier_CN_111</formula1>
    </dataValidation>
  </dataValidations>
  <hyperlinks>
    <hyperlink ref="B16" location="'S.01.02.01'!A1" display="S.01.02.01 - Basic Information - General" xr:uid="{19ADD8E3-4E0A-4C75-9BD9-18F785E7C0E0}"/>
    <hyperlink ref="B17" location="'SE.02.01.17'!A1" display="SE.02.01.17 - Balance Sheet" xr:uid="{3F6B1C22-3BEA-4F01-A488-B5003C8C70BE}"/>
    <hyperlink ref="B18" location="'S.05.01.02'!A1" display="S.05.01.02 - Premiums, claims and expenses by line of business" xr:uid="{8CB117F9-D198-4191-88B4-FEB0A3810B45}"/>
    <hyperlink ref="B19" location="'SE.06.02.16'!A1" display="SE.06.02.16 - List of assets" xr:uid="{6E03B116-72C5-4D50-AB45-5CFF747A20DF}"/>
    <hyperlink ref="B20" location="'S.06.03.01'!A1" display="S.06.03.01 - Collective investment undertakings - look-through approach" xr:uid="{C1379391-D459-46EC-9B18-ADF9194FE8BA}"/>
    <hyperlink ref="B21" location="'S.08.01.01'!A1" display="S.08.01.01 - Open derivatives" xr:uid="{DE0C5860-27E5-4347-9B5A-13DE1BA89C2D}"/>
    <hyperlink ref="B22" location="'S.08.02.01'!A1" display="S.08.02.01 - Derivatives Transactions" xr:uid="{F053EEA2-195B-4A90-928A-5A8F8D5A3195}"/>
    <hyperlink ref="B23" location="'S.12.01.02'!A1" display="S.12.01.02 - Life and Health SLT Technical Provisions" xr:uid="{098303B8-352E-459D-B0A1-758799FE1EE3}"/>
    <hyperlink ref="B24" location="'S.17.01.02'!A1" display="S.17.01.02 - Non-Life Technical Provisions" xr:uid="{C63571C5-415D-40A5-9D20-4754E3482FC7}"/>
    <hyperlink ref="B25" location="'S.23.01.01'!A1" display="S.23.01.01 - Own funds" xr:uid="{4E27105B-4ECE-4563-9A2B-06C86ACC548A}"/>
    <hyperlink ref="B26" location="'S.28.01.01'!A1" display="S.28.01.01 - Minimum Capital Requirement - Only life or only non-life insurance or reinsurance activity" xr:uid="{AB6A1B88-685F-4136-992F-65C8D05570E0}"/>
    <hyperlink ref="B27" location="'S.28.02.01'!A1" display="S.28.02.01 - Minimum Capital Requirement - Both life and non-life insurance activity" xr:uid="{0CA3E200-8C5D-439E-BE57-F03DB221FB80}"/>
    <hyperlink ref="B28" location="'E.01.01.16'!A1" display="E.01.01.16 - Deposits to cedants - line-by-line reporting" xr:uid="{01608F13-3E23-4F47-9D2D-B6F07772E5A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9DEEE-D5EB-4043-A67E-2D7C9D964601}">
  <sheetPr codeName="Blad23"/>
  <dimension ref="B2:O82"/>
  <sheetViews>
    <sheetView showGridLines="0" workbookViewId="0"/>
  </sheetViews>
  <sheetFormatPr defaultRowHeight="15"/>
  <cols>
    <col min="2" max="2" width="84.5703125" bestFit="1" customWidth="1"/>
    <col min="4" max="4" width="40.7109375" customWidth="1"/>
  </cols>
  <sheetData>
    <row r="2" spans="2:15" ht="23.25">
      <c r="B2" s="86" t="s">
        <v>532</v>
      </c>
      <c r="C2" s="87"/>
      <c r="D2" s="87"/>
      <c r="E2" s="87"/>
      <c r="F2" s="87"/>
      <c r="G2" s="87"/>
      <c r="H2" s="87"/>
      <c r="I2" s="87"/>
      <c r="J2" s="87"/>
      <c r="K2" s="87"/>
      <c r="L2" s="87"/>
      <c r="M2" s="87"/>
      <c r="N2" s="87"/>
      <c r="O2" s="87"/>
    </row>
    <row r="5" spans="2:15" ht="18.75">
      <c r="B5" s="88" t="s">
        <v>3169</v>
      </c>
      <c r="C5" s="87"/>
      <c r="D5" s="87"/>
      <c r="E5" s="87"/>
      <c r="F5" s="87"/>
      <c r="G5" s="87"/>
      <c r="H5" s="87"/>
      <c r="I5" s="87"/>
      <c r="J5" s="87"/>
      <c r="K5" s="87"/>
      <c r="L5" s="87"/>
    </row>
    <row r="9" spans="2:15">
      <c r="D9" s="89" t="s">
        <v>2877</v>
      </c>
    </row>
    <row r="10" spans="2:15">
      <c r="D10" s="90"/>
    </row>
    <row r="11" spans="2:15">
      <c r="D11" s="90"/>
    </row>
    <row r="12" spans="2:15">
      <c r="D12" s="91"/>
    </row>
    <row r="13" spans="2:15">
      <c r="D13" s="45" t="s">
        <v>2879</v>
      </c>
      <c r="I13" s="13" t="str">
        <f>IF(COUNTIF(D:D,"Reported")&gt;0,Show!$B$19,"!")&amp;"SE.01.01.18.01 Rows {"&amp;COLUMN($C$1)&amp;"}"&amp;"@ForceFilingCode:true"</f>
        <v>!SE.01.01.18.01 Rows {3}@ForceFilingCode:true</v>
      </c>
      <c r="J13" s="13" t="str">
        <f>IF(COUNTIF(D:D,"Reported")&gt;0,Show!$B$19,"!")&amp;"SE.01.01.18.01 Columns {"&amp;COLUMN($D$1)&amp;"}"</f>
        <v>!SE.01.01.18.01 Columns {4}</v>
      </c>
    </row>
    <row r="14" spans="2:15">
      <c r="B14" s="43" t="s">
        <v>2880</v>
      </c>
      <c r="C14" s="44" t="s">
        <v>2878</v>
      </c>
      <c r="D14" s="48"/>
    </row>
    <row r="15" spans="2:15">
      <c r="B15" s="47" t="s">
        <v>2881</v>
      </c>
      <c r="C15" s="44" t="s">
        <v>2878</v>
      </c>
      <c r="D15" s="46"/>
    </row>
    <row r="16" spans="2:15">
      <c r="B16" s="52" t="s">
        <v>3075</v>
      </c>
      <c r="C16" s="41" t="s">
        <v>2883</v>
      </c>
      <c r="D16" s="51"/>
    </row>
    <row r="17" spans="2:4">
      <c r="B17" s="52" t="s">
        <v>2884</v>
      </c>
      <c r="C17" s="41" t="s">
        <v>2885</v>
      </c>
      <c r="D17" s="51"/>
    </row>
    <row r="18" spans="2:4">
      <c r="B18" s="52" t="s">
        <v>3170</v>
      </c>
      <c r="C18" s="41" t="s">
        <v>3158</v>
      </c>
      <c r="D18" s="51"/>
    </row>
    <row r="19" spans="2:4">
      <c r="B19" s="52" t="s">
        <v>2888</v>
      </c>
      <c r="C19" s="41" t="s">
        <v>2889</v>
      </c>
      <c r="D19" s="51"/>
    </row>
    <row r="20" spans="2:4">
      <c r="B20" s="52" t="s">
        <v>3077</v>
      </c>
      <c r="C20" s="41" t="s">
        <v>3078</v>
      </c>
      <c r="D20" s="51"/>
    </row>
    <row r="21" spans="2:4">
      <c r="B21" s="52" t="s">
        <v>3171</v>
      </c>
      <c r="C21" s="41" t="s">
        <v>2891</v>
      </c>
      <c r="D21" s="51"/>
    </row>
    <row r="22" spans="2:4" ht="30">
      <c r="B22" s="52" t="s">
        <v>2892</v>
      </c>
      <c r="C22" s="41" t="s">
        <v>2893</v>
      </c>
      <c r="D22" s="51"/>
    </row>
    <row r="23" spans="2:4" ht="30">
      <c r="B23" s="52" t="s">
        <v>2894</v>
      </c>
      <c r="C23" s="41" t="s">
        <v>2895</v>
      </c>
      <c r="D23" s="51"/>
    </row>
    <row r="24" spans="2:4">
      <c r="B24" s="52" t="s">
        <v>2900</v>
      </c>
      <c r="C24" s="41" t="s">
        <v>2901</v>
      </c>
      <c r="D24" s="51"/>
    </row>
    <row r="25" spans="2:4">
      <c r="B25" s="52" t="s">
        <v>2902</v>
      </c>
      <c r="C25" s="41" t="s">
        <v>2903</v>
      </c>
      <c r="D25" s="51"/>
    </row>
    <row r="26" spans="2:4">
      <c r="B26" s="52" t="s">
        <v>3172</v>
      </c>
      <c r="C26" s="41" t="s">
        <v>3160</v>
      </c>
      <c r="D26" s="51"/>
    </row>
    <row r="27" spans="2:4">
      <c r="B27" s="52" t="s">
        <v>2908</v>
      </c>
      <c r="C27" s="41" t="s">
        <v>2909</v>
      </c>
      <c r="D27" s="51"/>
    </row>
    <row r="28" spans="2:4">
      <c r="B28" s="52" t="s">
        <v>2910</v>
      </c>
      <c r="C28" s="41" t="s">
        <v>2911</v>
      </c>
      <c r="D28" s="51"/>
    </row>
    <row r="29" spans="2:4">
      <c r="B29" s="52" t="s">
        <v>2912</v>
      </c>
      <c r="C29" s="41" t="s">
        <v>2913</v>
      </c>
      <c r="D29" s="51"/>
    </row>
    <row r="30" spans="2:4">
      <c r="B30" s="52" t="s">
        <v>2914</v>
      </c>
      <c r="C30" s="41" t="s">
        <v>2915</v>
      </c>
      <c r="D30" s="51"/>
    </row>
    <row r="31" spans="2:4">
      <c r="B31" s="52" t="s">
        <v>2916</v>
      </c>
      <c r="C31" s="41" t="s">
        <v>2917</v>
      </c>
      <c r="D31" s="51"/>
    </row>
    <row r="32" spans="2:4">
      <c r="B32" s="52" t="s">
        <v>2918</v>
      </c>
      <c r="C32" s="41" t="s">
        <v>2919</v>
      </c>
      <c r="D32" s="51"/>
    </row>
    <row r="33" spans="2:4">
      <c r="B33" s="52" t="s">
        <v>2920</v>
      </c>
      <c r="C33" s="41" t="s">
        <v>2921</v>
      </c>
      <c r="D33" s="51"/>
    </row>
    <row r="34" spans="2:4">
      <c r="B34" s="52" t="s">
        <v>2922</v>
      </c>
      <c r="C34" s="41" t="s">
        <v>2923</v>
      </c>
      <c r="D34" s="51"/>
    </row>
    <row r="35" spans="2:4">
      <c r="B35" s="52" t="s">
        <v>3080</v>
      </c>
      <c r="C35" s="41" t="s">
        <v>2925</v>
      </c>
      <c r="D35" s="51"/>
    </row>
    <row r="36" spans="2:4">
      <c r="B36" s="52" t="s">
        <v>2926</v>
      </c>
      <c r="C36" s="41" t="s">
        <v>2927</v>
      </c>
      <c r="D36" s="51"/>
    </row>
    <row r="37" spans="2:4">
      <c r="B37" s="52" t="s">
        <v>2928</v>
      </c>
      <c r="C37" s="41" t="s">
        <v>2929</v>
      </c>
      <c r="D37" s="51"/>
    </row>
    <row r="38" spans="2:4">
      <c r="B38" s="52" t="s">
        <v>2930</v>
      </c>
      <c r="C38" s="41" t="s">
        <v>2931</v>
      </c>
      <c r="D38" s="51"/>
    </row>
    <row r="39" spans="2:4">
      <c r="B39" s="52" t="s">
        <v>2932</v>
      </c>
      <c r="C39" s="41" t="s">
        <v>2933</v>
      </c>
      <c r="D39" s="51"/>
    </row>
    <row r="40" spans="2:4">
      <c r="B40" s="52" t="s">
        <v>2934</v>
      </c>
      <c r="C40" s="41" t="s">
        <v>2935</v>
      </c>
      <c r="D40" s="51"/>
    </row>
    <row r="41" spans="2:4">
      <c r="B41" s="52" t="s">
        <v>2936</v>
      </c>
      <c r="C41" s="41" t="s">
        <v>2937</v>
      </c>
      <c r="D41" s="51"/>
    </row>
    <row r="42" spans="2:4">
      <c r="B42" s="52" t="s">
        <v>2938</v>
      </c>
      <c r="C42" s="41" t="s">
        <v>2939</v>
      </c>
      <c r="D42" s="51"/>
    </row>
    <row r="43" spans="2:4">
      <c r="B43" s="52" t="s">
        <v>3081</v>
      </c>
      <c r="C43" s="41" t="s">
        <v>2941</v>
      </c>
      <c r="D43" s="51"/>
    </row>
    <row r="44" spans="2:4">
      <c r="B44" s="52" t="s">
        <v>2942</v>
      </c>
      <c r="C44" s="41" t="s">
        <v>2943</v>
      </c>
      <c r="D44" s="51"/>
    </row>
    <row r="45" spans="2:4">
      <c r="B45" s="52" t="s">
        <v>2944</v>
      </c>
      <c r="C45" s="41" t="s">
        <v>2945</v>
      </c>
      <c r="D45" s="51"/>
    </row>
    <row r="46" spans="2:4">
      <c r="B46" s="52" t="s">
        <v>2946</v>
      </c>
      <c r="C46" s="41" t="s">
        <v>2947</v>
      </c>
      <c r="D46" s="51"/>
    </row>
    <row r="47" spans="2:4">
      <c r="B47" s="52" t="s">
        <v>2948</v>
      </c>
      <c r="C47" s="41" t="s">
        <v>2949</v>
      </c>
      <c r="D47" s="51"/>
    </row>
    <row r="48" spans="2:4">
      <c r="B48" s="52" t="s">
        <v>2950</v>
      </c>
      <c r="C48" s="41" t="s">
        <v>2951</v>
      </c>
      <c r="D48" s="51"/>
    </row>
    <row r="49" spans="2:4">
      <c r="B49" s="52" t="s">
        <v>2952</v>
      </c>
      <c r="C49" s="41" t="s">
        <v>2953</v>
      </c>
      <c r="D49" s="51"/>
    </row>
    <row r="50" spans="2:4">
      <c r="B50" s="52" t="s">
        <v>2954</v>
      </c>
      <c r="C50" s="41" t="s">
        <v>2955</v>
      </c>
      <c r="D50" s="51"/>
    </row>
    <row r="51" spans="2:4">
      <c r="B51" s="52" t="s">
        <v>2956</v>
      </c>
      <c r="C51" s="41" t="s">
        <v>2957</v>
      </c>
      <c r="D51" s="51"/>
    </row>
    <row r="52" spans="2:4">
      <c r="B52" s="52" t="s">
        <v>2958</v>
      </c>
      <c r="C52" s="41" t="s">
        <v>2959</v>
      </c>
      <c r="D52" s="51"/>
    </row>
    <row r="53" spans="2:4">
      <c r="B53" s="52" t="s">
        <v>3082</v>
      </c>
      <c r="C53" s="41" t="s">
        <v>2961</v>
      </c>
      <c r="D53" s="51"/>
    </row>
    <row r="54" spans="2:4">
      <c r="B54" s="52" t="s">
        <v>3083</v>
      </c>
      <c r="C54" s="41" t="s">
        <v>2965</v>
      </c>
      <c r="D54" s="51"/>
    </row>
    <row r="55" spans="2:4">
      <c r="B55" s="52" t="s">
        <v>2968</v>
      </c>
      <c r="C55" s="41" t="s">
        <v>2969</v>
      </c>
      <c r="D55" s="51"/>
    </row>
    <row r="56" spans="2:4">
      <c r="B56" s="52" t="s">
        <v>2970</v>
      </c>
      <c r="C56" s="41" t="s">
        <v>2971</v>
      </c>
      <c r="D56" s="51"/>
    </row>
    <row r="57" spans="2:4" ht="30">
      <c r="B57" s="52" t="s">
        <v>2972</v>
      </c>
      <c r="C57" s="41" t="s">
        <v>2973</v>
      </c>
      <c r="D57" s="51"/>
    </row>
    <row r="58" spans="2:4">
      <c r="B58" s="52" t="s">
        <v>2974</v>
      </c>
      <c r="C58" s="41" t="s">
        <v>2975</v>
      </c>
      <c r="D58" s="51"/>
    </row>
    <row r="59" spans="2:4">
      <c r="B59" s="52" t="s">
        <v>2976</v>
      </c>
      <c r="C59" s="41" t="s">
        <v>2977</v>
      </c>
      <c r="D59" s="51"/>
    </row>
    <row r="60" spans="2:4">
      <c r="B60" s="52" t="s">
        <v>2978</v>
      </c>
      <c r="C60" s="41" t="s">
        <v>2979</v>
      </c>
      <c r="D60" s="51"/>
    </row>
    <row r="61" spans="2:4">
      <c r="B61" s="52" t="s">
        <v>2980</v>
      </c>
      <c r="C61" s="41" t="s">
        <v>2981</v>
      </c>
      <c r="D61" s="51"/>
    </row>
    <row r="62" spans="2:4">
      <c r="B62" s="52" t="s">
        <v>2982</v>
      </c>
      <c r="C62" s="41" t="s">
        <v>2983</v>
      </c>
      <c r="D62" s="51"/>
    </row>
    <row r="63" spans="2:4">
      <c r="B63" s="52" t="s">
        <v>2984</v>
      </c>
      <c r="C63" s="41" t="s">
        <v>2985</v>
      </c>
      <c r="D63" s="51"/>
    </row>
    <row r="64" spans="2:4">
      <c r="B64" s="52" t="s">
        <v>2986</v>
      </c>
      <c r="C64" s="41" t="s">
        <v>2987</v>
      </c>
      <c r="D64" s="51"/>
    </row>
    <row r="65" spans="2:4">
      <c r="B65" s="52" t="s">
        <v>2988</v>
      </c>
      <c r="C65" s="41" t="s">
        <v>2989</v>
      </c>
      <c r="D65" s="51"/>
    </row>
    <row r="66" spans="2:4">
      <c r="B66" s="52" t="s">
        <v>3084</v>
      </c>
      <c r="C66" s="41" t="s">
        <v>2991</v>
      </c>
      <c r="D66" s="51"/>
    </row>
    <row r="67" spans="2:4" ht="30">
      <c r="B67" s="52" t="s">
        <v>2992</v>
      </c>
      <c r="C67" s="41" t="s">
        <v>2993</v>
      </c>
      <c r="D67" s="51"/>
    </row>
    <row r="68" spans="2:4">
      <c r="B68" s="52" t="s">
        <v>2994</v>
      </c>
      <c r="C68" s="41" t="s">
        <v>2995</v>
      </c>
      <c r="D68" s="51"/>
    </row>
    <row r="69" spans="2:4">
      <c r="B69" s="52" t="s">
        <v>3085</v>
      </c>
      <c r="C69" s="41" t="s">
        <v>2997</v>
      </c>
      <c r="D69" s="51"/>
    </row>
    <row r="70" spans="2:4" ht="30">
      <c r="B70" s="52" t="s">
        <v>2998</v>
      </c>
      <c r="C70" s="41" t="s">
        <v>2999</v>
      </c>
      <c r="D70" s="51"/>
    </row>
    <row r="71" spans="2:4">
      <c r="B71" s="52" t="s">
        <v>3000</v>
      </c>
      <c r="C71" s="41" t="s">
        <v>3001</v>
      </c>
      <c r="D71" s="51"/>
    </row>
    <row r="72" spans="2:4">
      <c r="B72" s="52" t="s">
        <v>3002</v>
      </c>
      <c r="C72" s="41" t="s">
        <v>3003</v>
      </c>
      <c r="D72" s="51"/>
    </row>
    <row r="73" spans="2:4">
      <c r="B73" s="52" t="s">
        <v>3004</v>
      </c>
      <c r="C73" s="41" t="s">
        <v>3005</v>
      </c>
      <c r="D73" s="51"/>
    </row>
    <row r="74" spans="2:4">
      <c r="B74" s="52" t="s">
        <v>3006</v>
      </c>
      <c r="C74" s="41" t="s">
        <v>3007</v>
      </c>
      <c r="D74" s="51"/>
    </row>
    <row r="75" spans="2:4">
      <c r="B75" s="52" t="s">
        <v>3008</v>
      </c>
      <c r="C75" s="41" t="s">
        <v>3009</v>
      </c>
      <c r="D75" s="51"/>
    </row>
    <row r="76" spans="2:4">
      <c r="B76" s="52" t="s">
        <v>3010</v>
      </c>
      <c r="C76" s="41" t="s">
        <v>3011</v>
      </c>
      <c r="D76" s="51"/>
    </row>
    <row r="77" spans="2:4">
      <c r="B77" s="52" t="s">
        <v>3012</v>
      </c>
      <c r="C77" s="41" t="s">
        <v>3013</v>
      </c>
      <c r="D77" s="51"/>
    </row>
    <row r="78" spans="2:4">
      <c r="B78" s="52" t="s">
        <v>3014</v>
      </c>
      <c r="C78" s="41" t="s">
        <v>3015</v>
      </c>
      <c r="D78" s="51"/>
    </row>
    <row r="79" spans="2:4">
      <c r="B79" s="52" t="s">
        <v>3161</v>
      </c>
      <c r="C79" s="41" t="s">
        <v>3162</v>
      </c>
      <c r="D79" s="51"/>
    </row>
    <row r="80" spans="2:4">
      <c r="B80" s="52" t="s">
        <v>3163</v>
      </c>
      <c r="C80" s="41" t="s">
        <v>3164</v>
      </c>
      <c r="D80" s="51"/>
    </row>
    <row r="81" spans="2:10">
      <c r="B81" s="52" t="s">
        <v>3165</v>
      </c>
      <c r="C81" s="41" t="s">
        <v>3166</v>
      </c>
      <c r="D81" s="51"/>
    </row>
    <row r="82" spans="2:10">
      <c r="I82" s="13" t="str">
        <f>IF(COUNTIF(D:D,"Reported")&gt;0,Show!$B$19&amp;Show!$B$19,"!!")&amp;"SE.01.01.18.01 Rows {"&amp;COLUMN($C$1)&amp;"}"</f>
        <v>!!SE.01.01.18.01 Rows {3}</v>
      </c>
      <c r="J82" s="13" t="str">
        <f>IF(COUNTIF(D:D,"Reported")&gt;0,Show!$B$19&amp;Show!$B$19,"!!")&amp;"SE.01.01.18.01 Columns {"&amp;COLUMN($D$1)&amp;"}"</f>
        <v>!!SE.01.01.18.01 Columns {4}</v>
      </c>
    </row>
  </sheetData>
  <sheetProtection sheet="1" objects="1" scenarios="1"/>
  <mergeCells count="3">
    <mergeCell ref="B2:O2"/>
    <mergeCell ref="B5:L5"/>
    <mergeCell ref="D9:D12"/>
  </mergeCells>
  <dataValidations count="45">
    <dataValidation type="list" errorStyle="warning" allowBlank="1" showInputMessage="1" showErrorMessage="1" sqref="D16" xr:uid="{A6EAF311-A289-445D-9529-048646976412}">
      <formula1>hier_CN_2</formula1>
    </dataValidation>
    <dataValidation type="list" errorStyle="warning" allowBlank="1" showInputMessage="1" showErrorMessage="1" sqref="D17" xr:uid="{E9739674-DC13-4368-AADE-8141E7ADBBA1}">
      <formula1>hier_CN_14</formula1>
    </dataValidation>
    <dataValidation type="list" errorStyle="warning" allowBlank="1" showInputMessage="1" showErrorMessage="1" sqref="D18" xr:uid="{B63B59B4-75F3-4F7B-88B1-5632D635FE4D}">
      <formula1>hier_CN_106</formula1>
    </dataValidation>
    <dataValidation type="list" errorStyle="warning" allowBlank="1" showInputMessage="1" showErrorMessage="1" sqref="D19" xr:uid="{85C4FFDB-1C6B-427D-8D91-62BCB187D792}">
      <formula1>hier_CN_18</formula1>
    </dataValidation>
    <dataValidation type="list" errorStyle="warning" allowBlank="1" showInputMessage="1" showErrorMessage="1" sqref="D20 D31 D69 D70 D71 D72" xr:uid="{6FD60B5F-7F3F-44A7-9B3A-25AAE76EE824}">
      <formula1>hier_CN_15</formula1>
    </dataValidation>
    <dataValidation type="list" errorStyle="warning" allowBlank="1" showInputMessage="1" showErrorMessage="1" sqref="D21" xr:uid="{76240394-D565-497B-8C4A-8BC0B40A2EF3}">
      <formula1>hier_CN_20</formula1>
    </dataValidation>
    <dataValidation type="list" errorStyle="warning" allowBlank="1" showInputMessage="1" showErrorMessage="1" sqref="D22" xr:uid="{3A761156-9D53-4E88-8081-D10CBFB27EA5}">
      <formula1>hier_CN_34</formula1>
    </dataValidation>
    <dataValidation type="list" errorStyle="warning" allowBlank="1" showInputMessage="1" showErrorMessage="1" sqref="D23" xr:uid="{9172D14B-F5BB-45BD-A0A8-5D0620797DD6}">
      <formula1>hier_CN_35</formula1>
    </dataValidation>
    <dataValidation type="list" errorStyle="warning" allowBlank="1" showInputMessage="1" showErrorMessage="1" sqref="D24 D53" xr:uid="{07AA0898-C3A6-4F43-A5BE-D4CF75A73EBE}">
      <formula1>hier_CN_115</formula1>
    </dataValidation>
    <dataValidation type="list" errorStyle="warning" allowBlank="1" showInputMessage="1" showErrorMessage="1" sqref="D25" xr:uid="{4949E0CF-DB6F-4C56-B48E-227F37688CBC}">
      <formula1>hier_CN_116</formula1>
    </dataValidation>
    <dataValidation type="list" errorStyle="warning" allowBlank="1" showInputMessage="1" showErrorMessage="1" sqref="D26" xr:uid="{311277B1-BFC5-4ED8-9897-2CEB38E5145F}">
      <formula1>hier_CN_97</formula1>
    </dataValidation>
    <dataValidation type="list" errorStyle="warning" allowBlank="1" showInputMessage="1" showErrorMessage="1" sqref="D27" xr:uid="{83D19CDD-96C8-4DC0-9C4E-F6B0CEC1E30E}">
      <formula1>hier_CN_119</formula1>
    </dataValidation>
    <dataValidation type="list" errorStyle="warning" allowBlank="1" showInputMessage="1" showErrorMessage="1" sqref="D28" xr:uid="{981C0116-AFBE-4E98-848B-844D093F441E}">
      <formula1>hier_CN_121</formula1>
    </dataValidation>
    <dataValidation type="list" errorStyle="warning" allowBlank="1" showInputMessage="1" showErrorMessage="1" sqref="D29 D30" xr:uid="{254CDFD7-58AE-4018-9803-C7EA0E48279D}">
      <formula1>hier_CN_100</formula1>
    </dataValidation>
    <dataValidation type="list" errorStyle="warning" allowBlank="1" showInputMessage="1" showErrorMessage="1" sqref="D32" xr:uid="{69500981-8E2D-4987-ACEF-D28DF34DA409}">
      <formula1>hier_CN_101</formula1>
    </dataValidation>
    <dataValidation type="list" errorStyle="warning" allowBlank="1" showInputMessage="1" showErrorMessage="1" sqref="D33" xr:uid="{BDB82868-8321-4298-9416-208F5133E3EB}">
      <formula1>hier_CN_102</formula1>
    </dataValidation>
    <dataValidation type="list" errorStyle="warning" allowBlank="1" showInputMessage="1" showErrorMessage="1" sqref="D34" xr:uid="{268CE588-B68A-48AB-9972-7D0374E81627}">
      <formula1>hier_CN_103</formula1>
    </dataValidation>
    <dataValidation type="list" errorStyle="warning" allowBlank="1" showInputMessage="1" showErrorMessage="1" sqref="D35" xr:uid="{E7F222C8-AEAB-4A7D-81B4-BB2C4E49FA26}">
      <formula1>hier_CN_31</formula1>
    </dataValidation>
    <dataValidation type="list" errorStyle="warning" allowBlank="1" showInputMessage="1" showErrorMessage="1" sqref="D36 D37" xr:uid="{310A0C60-202C-4775-999F-5F78EA4654BD}">
      <formula1>hier_CN_30</formula1>
    </dataValidation>
    <dataValidation type="list" errorStyle="warning" allowBlank="1" showInputMessage="1" showErrorMessage="1" sqref="D38 D39" xr:uid="{72BA72CC-5F14-4422-9F73-AACC4168DA45}">
      <formula1>hier_CN_41</formula1>
    </dataValidation>
    <dataValidation type="list" errorStyle="warning" allowBlank="1" showInputMessage="1" showErrorMessage="1" sqref="D40" xr:uid="{865092A6-8FC4-4FF4-880D-457B49823057}">
      <formula1>hier_CN_42</formula1>
    </dataValidation>
    <dataValidation type="list" errorStyle="warning" allowBlank="1" showInputMessage="1" showErrorMessage="1" sqref="D41" xr:uid="{F93A8097-FAC1-4662-BDF5-4CAA981DDFC3}">
      <formula1>hier_CN_104</formula1>
    </dataValidation>
    <dataValidation type="list" errorStyle="warning" allowBlank="1" showInputMessage="1" showErrorMessage="1" sqref="D42" xr:uid="{922DC910-21CE-4938-9C83-2D79F44136C8}">
      <formula1>hier_CN_33</formula1>
    </dataValidation>
    <dataValidation type="list" errorStyle="warning" allowBlank="1" showInputMessage="1" showErrorMessage="1" sqref="D43 D44" xr:uid="{9A41CACC-626E-47F2-8C51-E076D990C4B2}">
      <formula1>hier_CN_32</formula1>
    </dataValidation>
    <dataValidation type="list" errorStyle="warning" allowBlank="1" showInputMessage="1" showErrorMessage="1" sqref="D45 D46 D47 D48" xr:uid="{DDB2B285-D6F9-408B-A16C-B1EDEB675803}">
      <formula1>hier_CN_123</formula1>
    </dataValidation>
    <dataValidation type="list" errorStyle="warning" allowBlank="1" showInputMessage="1" showErrorMessage="1" sqref="D49" xr:uid="{261CE2D5-5C9A-46F8-BA0A-A4EEAB72C346}">
      <formula1>hier_CN_43</formula1>
    </dataValidation>
    <dataValidation type="list" errorStyle="warning" allowBlank="1" showInputMessage="1" showErrorMessage="1" sqref="D50 D51" xr:uid="{76E38CD4-7454-44DF-9405-43E84E075655}">
      <formula1>hier_CN_45</formula1>
    </dataValidation>
    <dataValidation type="list" errorStyle="warning" allowBlank="1" showInputMessage="1" showErrorMessage="1" sqref="D52" xr:uid="{53D739E6-6437-420B-8953-462D5A4461D8}">
      <formula1>hier_CN_112</formula1>
    </dataValidation>
    <dataValidation type="list" errorStyle="warning" allowBlank="1" showInputMessage="1" showErrorMessage="1" sqref="D54" xr:uid="{2EF3B05D-FAE8-438F-A50F-3A04A406BB64}">
      <formula1>hier_CN_1</formula1>
    </dataValidation>
    <dataValidation type="list" errorStyle="warning" allowBlank="1" showInputMessage="1" showErrorMessage="1" sqref="D55" xr:uid="{8DBF0D9B-5B90-42E1-9B37-001E22AE2095}">
      <formula1>hier_CN_46</formula1>
    </dataValidation>
    <dataValidation type="list" errorStyle="warning" allowBlank="1" showInputMessage="1" showErrorMessage="1" sqref="D56" xr:uid="{C228C86B-1567-4318-8326-92F5883D639C}">
      <formula1>hier_CN_108</formula1>
    </dataValidation>
    <dataValidation type="list" errorStyle="warning" allowBlank="1" showInputMessage="1" showErrorMessage="1" sqref="D57" xr:uid="{66B58D48-FF9B-4C23-B2A7-6A8C8F595224}">
      <formula1>hier_CN_8</formula1>
    </dataValidation>
    <dataValidation type="list" errorStyle="warning" allowBlank="1" showInputMessage="1" showErrorMessage="1" sqref="D58" xr:uid="{04E96A55-B24D-4DD5-B5D5-227D46F97BA8}">
      <formula1>hier_CN_9</formula1>
    </dataValidation>
    <dataValidation type="list" errorStyle="warning" allowBlank="1" showInputMessage="1" showErrorMessage="1" sqref="D59 D60 D61 D62 D63" xr:uid="{B4A86957-D29D-4E57-A744-4DE7E59EA130}">
      <formula1>hier_CN_124</formula1>
    </dataValidation>
    <dataValidation type="list" errorStyle="warning" allowBlank="1" showInputMessage="1" showErrorMessage="1" sqref="D64" xr:uid="{A240EC13-FF1C-4B49-86B6-B34C18A238D3}">
      <formula1>hier_CN_53</formula1>
    </dataValidation>
    <dataValidation type="list" errorStyle="warning" allowBlank="1" showInputMessage="1" showErrorMessage="1" sqref="D65" xr:uid="{AEC9C4D0-7656-4D30-843E-4873CACB85BD}">
      <formula1>hier_CN_55</formula1>
    </dataValidation>
    <dataValidation type="list" errorStyle="warning" allowBlank="1" showInputMessage="1" showErrorMessage="1" sqref="D66" xr:uid="{FB576C3E-F5DE-4610-8D0B-04B3D598B4C7}">
      <formula1>hier_CN_51</formula1>
    </dataValidation>
    <dataValidation type="list" errorStyle="warning" allowBlank="1" showInputMessage="1" showErrorMessage="1" sqref="D67" xr:uid="{E8D79753-FB26-401E-B790-F3D42F187E9E}">
      <formula1>hier_CN_85</formula1>
    </dataValidation>
    <dataValidation type="list" errorStyle="warning" allowBlank="1" showInputMessage="1" showErrorMessage="1" sqref="D68" xr:uid="{14723074-6AC6-4ED3-B730-DC43B70A8EB4}">
      <formula1>hier_CN_86</formula1>
    </dataValidation>
    <dataValidation type="list" errorStyle="warning" allowBlank="1" showInputMessage="1" showErrorMessage="1" sqref="D73 D74" xr:uid="{A6248F99-1BC0-4525-BB4D-4F741DC3A7BA}">
      <formula1>hier_CN_57</formula1>
    </dataValidation>
    <dataValidation type="list" errorStyle="warning" allowBlank="1" showInputMessage="1" showErrorMessage="1" sqref="D75 D76 D77" xr:uid="{EDBDA285-70E4-42CA-8C5B-DB0C2BBD4E45}">
      <formula1>hier_CN_58</formula1>
    </dataValidation>
    <dataValidation type="list" errorStyle="warning" allowBlank="1" showInputMessage="1" showErrorMessage="1" sqref="D78" xr:uid="{5B4FE8B0-69FA-4A79-AAD7-18D669DE7106}">
      <formula1>hier_CN_59</formula1>
    </dataValidation>
    <dataValidation type="list" errorStyle="warning" allowBlank="1" showInputMessage="1" showErrorMessage="1" sqref="D79" xr:uid="{800FC6EA-C62E-4796-A341-4A857C2EE361}">
      <formula1>hier_CN_122</formula1>
    </dataValidation>
    <dataValidation type="list" errorStyle="warning" allowBlank="1" showInputMessage="1" showErrorMessage="1" sqref="D80" xr:uid="{930CCA85-3D4A-40BC-8441-2BA71762533F}">
      <formula1>hier_CN_94</formula1>
    </dataValidation>
    <dataValidation type="list" errorStyle="warning" allowBlank="1" showInputMessage="1" showErrorMessage="1" sqref="D81" xr:uid="{100FAE11-49BB-4CCF-AD03-4F8D801DD625}">
      <formula1>hier_CN_95</formula1>
    </dataValidation>
  </dataValidations>
  <hyperlinks>
    <hyperlink ref="B16" location="'S.01.02.07'!A1" display="S.01.02.07 - Basic Information - General" xr:uid="{5BBE0EE2-F3A9-4B65-9E49-EBCA32BB1134}"/>
    <hyperlink ref="B17" location="'S.01.03.01'!A1" display="S.01.03.01 - Basic Information - RFF and matching adjustment portfolios" xr:uid="{BC8B09A7-5547-45B7-8990-582C54C1DBC4}"/>
    <hyperlink ref="B18" location="'SE.02.01.18'!A1" display="SE.02.01.18 - Balance Sheet" xr:uid="{8A9603A2-D866-4B70-9210-29C71507AE3A}"/>
    <hyperlink ref="B19" location="'S.02.02.01'!A1" display="S.02.02.01 - Assets and liabilities by currency" xr:uid="{12A6244F-6909-4691-8BC0-1F1AD6DB8F5E}"/>
    <hyperlink ref="B20" location="'S.02.03.07'!A1" display="S.02.03.07 - Additional branch balance sheet information" xr:uid="{734D7261-A522-4543-8B28-44BE1E0D3268}"/>
    <hyperlink ref="B21" location="'S.03.01.01'!A1" display="S.03.01.01 - Off-balance sheet items -general" xr:uid="{AEB62E37-7D4D-4725-B5AC-E890C3CB4C06}"/>
    <hyperlink ref="B22" location="'S.03.02.01'!A1" display="S.03.02.01 - Off-balance sheet items - List of unlimited guarantees received by the undertaking" xr:uid="{87767BE8-D938-408C-A6F8-66CC4934FC9A}"/>
    <hyperlink ref="B23" location="'S.03.03.01'!A1" display="S.03.03.01 - Off-balance sheet items - List of unlimited guarantees provided by the undertaking" xr:uid="{F72AAE9A-E3A7-432A-9889-9EA27D05410A}"/>
    <hyperlink ref="B24" location="'S.05.01.01'!A1" display="S.05.01.01 - Premiums, claims and expenses by line of business" xr:uid="{FFC873A7-8026-4C3A-9C39-D0A51F638649}"/>
    <hyperlink ref="B25" location="'S.05.02.01'!A1" display="S.05.02.01 - Premiums, claims and expenses by country" xr:uid="{3F3EBCED-C6BD-4F46-97CF-284223526DC1}"/>
    <hyperlink ref="B26" location="'SE.06.02.18'!A1" display="SE.06.02.18 - List of assets" xr:uid="{4060375C-7DD1-495C-A93C-57BB9A9EA492}"/>
    <hyperlink ref="B27" location="'S.06.03.01'!A1" display="S.06.03.01 - Collective investment undertakings - look-through approach" xr:uid="{9E6CA8C6-6241-4B4C-85C0-0222D7962515}"/>
    <hyperlink ref="B28" location="'S.07.01.01'!A1" display="S.07.01.01 - Structured products" xr:uid="{ED443FF9-A3E7-44AA-AEF0-28DBC95FF474}"/>
    <hyperlink ref="B29" location="'S.08.01.01'!A1" display="S.08.01.01 - Open derivatives" xr:uid="{8E8FA5C8-3A5F-414C-9D13-88DEDA80B97A}"/>
    <hyperlink ref="B30" location="'S.08.02.01'!A1" display="S.08.02.01 - Derivatives Transactions" xr:uid="{057AD40E-BAC7-4777-99D4-A30525C19B6A}"/>
    <hyperlink ref="B31" location="'S.09.01.01'!A1" display="S.09.01.01 - Income/gains and losses in the period" xr:uid="{2C035816-7E3C-4EF2-9471-03BCBCC84917}"/>
    <hyperlink ref="B32" location="'S.10.01.01'!A1" display="S.10.01.01 - Securities lending and repos" xr:uid="{526EE655-4D36-4DCB-8F06-7953B995384E}"/>
    <hyperlink ref="B33" location="'S.11.01.01'!A1" display="S.11.01.01 - Assets held as collateral" xr:uid="{9A7C0786-48CE-4E2D-9721-01C16E5F9EB8}"/>
    <hyperlink ref="B34" location="'S.12.01.01'!A1" display="S.12.01.01 - Life and Health SLT Technical Provisions" xr:uid="{2B84EC0E-47BE-47DC-B806-0C2FEDC47EBF}"/>
    <hyperlink ref="B35" location="'S.12.02.01'!A1" display="S.12.02.01 - Life and Health SLT Technical Provisions - By country" xr:uid="{14BF9A30-5AB2-4046-8F42-519EEE78D2B8}"/>
    <hyperlink ref="B36" location="'S.13.01.01'!A1" display="S.13.01.01 - Projection of future gross cash flows" xr:uid="{C2F126D6-72D2-4BF4-A57A-3FA28A58AB04}"/>
    <hyperlink ref="B37" location="'S.14.01.01'!A1" display="S.14.01.01 - Life obligations analysis" xr:uid="{14B5C123-D940-4B41-909E-8A6F7092C9C2}"/>
    <hyperlink ref="B38" location="'S.15.01.01'!A1" display="S.15.01.01 - Description of the guarantees of variable annuities" xr:uid="{A19A643E-480A-4D54-8518-F19E73E3098E}"/>
    <hyperlink ref="B39" location="'S.15.02.01'!A1" display="S.15.02.01 - Hedging of guarantees of variable annuities" xr:uid="{A377740F-C63B-446E-86DA-A66916479559}"/>
    <hyperlink ref="B40" location="'S.16.01.01'!A1" display="S.16.01.01 - Information on annuities stemming from Non-Life Insurance obligations" xr:uid="{539BBF90-7A8A-4BE5-815E-78E676624465}"/>
    <hyperlink ref="B41" location="'S.17.01.01'!A1" display="S.17.01.01 - Non-Life Technical Provisions" xr:uid="{C2D9BE15-82B2-40D8-B6B5-7F140DC1ECD2}"/>
    <hyperlink ref="B42" location="'S.17.02.01'!A1" display="S.17.02.01 - Non-Life Technical Provisions - By country" xr:uid="{7E932637-4B06-4A60-992D-9EC70C715E0F}"/>
    <hyperlink ref="B43" location="'S.18.01.01'!A1" display="S.18.01.01 - Projection of future cash flows (Best Estimate - Non-Life)" xr:uid="{32F19C7E-0EF2-4C71-A818-F19C906CE075}"/>
    <hyperlink ref="B44" location="'S.19.01.01'!A1" display="S.19.01.01 - Non-life insurance claims" xr:uid="{79C45380-86C4-4E24-AAAF-AA919B39B279}"/>
    <hyperlink ref="B45" location="'S.20.01.01'!A1" display="S.20.01.01 - Development of the distribution of the claims incurred" xr:uid="{BB7E941F-DFB3-4FEB-8F55-B0C052B704B6}"/>
    <hyperlink ref="B46" location="'S.21.01.01'!A1" display="S.21.01.01 - Loss distribution risk profile" xr:uid="{C93E1D55-2E2B-4A11-8D1E-97FA4520DA08}"/>
    <hyperlink ref="B47" location="'S.21.02.01'!A1" display="S.21.02.01 - Underwriting risks non-life" xr:uid="{062CC438-680C-4962-81E0-49BC751B33A2}"/>
    <hyperlink ref="B48" location="'S.21.03.01'!A1" display="S.21.03.01 - Non-life distribution of underwriting risks - by sum insured" xr:uid="{51FFAB6C-195D-45A3-9175-882E8F469211}"/>
    <hyperlink ref="B49" location="'S.22.01.01'!A1" display="S.22.01.01 - Impact of long term guarantees measures and transitionals" xr:uid="{F2758223-2BEE-4B63-80E8-B1FD63729C24}"/>
    <hyperlink ref="B50" location="'S.22.04.01'!A1" display="S.22.04.01 - Information on the transitional on interest rates calculation" xr:uid="{A1D799E6-A111-4B62-ADED-F25D6DD93A0C}"/>
    <hyperlink ref="B51" location="'S.22.05.01'!A1" display="S.22.05.01 - Overall calculation of the transitional on technical provisions" xr:uid="{A5716B74-08C8-4B89-9DFB-1828DABDC3DC}"/>
    <hyperlink ref="B52" location="'S.22.06.01'!A1" display="S.22.06.01 - Best estimate subject to volatility adjustment by country and currency" xr:uid="{6DDDF076-1D71-45A1-85C6-EA9B7C4068D0}"/>
    <hyperlink ref="B53" location="'S.23.01.07'!A1" display="S.23.01.07 - Own funds" xr:uid="{F0E4E099-14B2-4713-8223-5FD049242579}"/>
    <hyperlink ref="B54" location="'S.23.03.07'!A1" display="S.23.03.07 - Annual movements on own funds" xr:uid="{4B3F52D0-E288-4836-8447-4804A9EAAC37}"/>
    <hyperlink ref="B55" location="'S.24.01.01'!A1" display="S.24.01.01 - Participations held" xr:uid="{097F5E44-1E93-4119-9A68-F8BAD35E40D6}"/>
    <hyperlink ref="B56" location="'S.25.01.01'!A1" display="S.25.01.01 - Solvency Capital Requirement - for undertakings on Standard Formula" xr:uid="{9A787177-6C55-4E78-8D88-D1C3BE6D818C}"/>
    <hyperlink ref="B57" location="'S.25.02.01'!A1" display="S.25.02.01 - Solvency Capital Requirement - for undertakings using the standard formula and partial internal model" xr:uid="{0C47B35C-5E2C-4B8A-872C-61513835781D}"/>
    <hyperlink ref="B58" location="'S.25.03.01'!A1" display="S.25.03.01 - Solvency Capital Requirement - for undertakings on Full Internal Models" xr:uid="{9CF2F5AE-C9C5-4A65-A1BD-7271BB561C4C}"/>
    <hyperlink ref="B59" location="'S.26.01.01'!A1" display="S.26.01.01 - Solvency Capital Requirement - Market risk" xr:uid="{7FEC4B20-9F27-4B96-9C8D-13CE616408DB}"/>
    <hyperlink ref="B60" location="'S.26.02.01'!A1" display="S.26.02.01 - Solvency Capital Requirement - Counterparty default risk" xr:uid="{5644AC84-E42E-47E7-A61E-756BBF30A0C8}"/>
    <hyperlink ref="B61" location="'S.26.03.01'!A1" display="S.26.03.01 - Solvency Capital Requirement - Life underwriting risk" xr:uid="{C744301C-32BD-4ED8-9C37-276F022CA99B}"/>
    <hyperlink ref="B62" location="'S.26.04.01'!A1" display="S.26.04.01 - Solvency Capital Requirement - Health underwriting risk" xr:uid="{84C87534-AE21-49D7-9BDA-EAAA22555D79}"/>
    <hyperlink ref="B63" location="'S.26.05.01'!A1" display="S.26.05.01 - Solvency Capital Requirement - Non-Life underwriting risk" xr:uid="{32C7D9F4-5891-48FA-81DF-2FD0447B581A}"/>
    <hyperlink ref="B64" location="'S.26.06.01'!A1" display="S.26.06.01 - Solvency Capital Requirement - Operational risk" xr:uid="{2CF16BFC-0377-439F-8097-6DC7161C1EBD}"/>
    <hyperlink ref="B65" location="'S.26.07.01'!A1" display="S.26.07.01 - Solvency Capital Requirement - Simplifications" xr:uid="{2750AA87-A212-43A4-9034-D3F275CA1FDB}"/>
    <hyperlink ref="B66" location="'S.27.01.01'!A1" display="S.27.01.01 - Solvency Capital Requirement - Non-Life and Health catastrophe risk" xr:uid="{89033826-A7B5-4E5C-87F1-71E25F1E5CA8}"/>
    <hyperlink ref="B67" location="'S.28.01.01'!A1" display="S.28.01.01 - Minimum Capital Requirement - Only life or only non-life insurance or reinsurance activity" xr:uid="{54CFA846-B7F3-4475-9D07-C16218389649}"/>
    <hyperlink ref="B68" location="'S.28.02.01'!A1" display="S.28.02.01 - Minimum Capital Requirement - Both life and non-life insurance activity" xr:uid="{1E8B5482-3702-45B5-A6CC-22D4CF0EA257}"/>
    <hyperlink ref="B69" location="'S.29.01.07'!A1" display="S.29.01.07 - Excess of Assets over Liabilities" xr:uid="{86005FCC-0F2A-4795-89C6-EB5FE814678E}"/>
    <hyperlink ref="B70" location="'S.29.02.01'!A1" display="S.29.02.01 - Excess of Assets over Liabilities - explained by investments and financial liabilities" xr:uid="{B2034C42-4CF8-49FE-A38D-3F4C2D247341}"/>
    <hyperlink ref="B71" location="'S.29.03.01'!A1" display="S.29.03.01 - Excess of Assets over Liabilities - explained by technical provisions" xr:uid="{7289312E-A670-4F6E-9667-780C92572263}"/>
    <hyperlink ref="B72" location="'S.29.04.01'!A1" display="S.29.04.01 - Detailed analysis per period - Technical flows versus Technical provisions" xr:uid="{298291BB-66FF-42CD-A6A3-6026B02675F8}"/>
    <hyperlink ref="B73" location="'S.30.01.01'!A1" display="S.30.01.01 - Facultative covers for non-life and life business basic data" xr:uid="{7CAFEF87-196D-4082-A952-095F20AE66C7}"/>
    <hyperlink ref="B74" location="'S.30.02.01'!A1" display="S.30.02.01 - Facultative covers for non-life and life business shares data" xr:uid="{BF21AFCE-A27E-40E3-9E42-99A289C602B0}"/>
    <hyperlink ref="B75" location="'S.30.03.01'!A1" display="S.30.03.01 - Outgoing Reinsurance Program basic data" xr:uid="{807F194C-1430-486B-B34B-39B991F65222}"/>
    <hyperlink ref="B76" location="'S.30.04.01'!A1" display="S.30.04.01 - Outgoing Reinsurance Program shares data" xr:uid="{DE6A4180-0403-455A-AC29-C04494457757}"/>
    <hyperlink ref="B77" location="'S.31.01.01'!A1" display="S.31.01.01 - Share of reinsurers (including Finite Reinsurance and SPV's)" xr:uid="{4FA5B233-07A5-455E-929C-192F5E931735}"/>
    <hyperlink ref="B78" location="'S.31.02.01'!A1" display="S.31.02.01 - Special Purpose Vehicles" xr:uid="{260EA59A-67F7-499B-89CC-28AC7F73E849}"/>
    <hyperlink ref="B79" location="'E.01.01.16'!A1" display="E.01.01.16 - Deposits to cedants - line-by-line reporting" xr:uid="{DE0386FC-A04C-42DC-9FE2-DFF370DB39C6}"/>
    <hyperlink ref="B80" location="'E.02.01.16'!A1" display="E.02.01.16 - Pension entitlements" xr:uid="{4B84F52E-6255-440C-B1D8-DD60C04FC17C}"/>
    <hyperlink ref="B81" location="'E.03.01.16'!A1" display="E.03.01.16 - Non-life Technical Provisions - reinsurance policies - By country" xr:uid="{D9D4BC6F-2BC3-46FF-84B2-185DA418875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E606A-B9CB-4CA3-9470-BEF0BF19D9F6}">
  <sheetPr codeName="Blad24"/>
  <dimension ref="B2:O29"/>
  <sheetViews>
    <sheetView showGridLines="0" workbookViewId="0"/>
  </sheetViews>
  <sheetFormatPr defaultRowHeight="15"/>
  <cols>
    <col min="2" max="2" width="81.140625" bestFit="1" customWidth="1"/>
    <col min="4" max="4" width="40.7109375" customWidth="1"/>
  </cols>
  <sheetData>
    <row r="2" spans="2:15" ht="23.25">
      <c r="B2" s="86" t="s">
        <v>534</v>
      </c>
      <c r="C2" s="87"/>
      <c r="D2" s="87"/>
      <c r="E2" s="87"/>
      <c r="F2" s="87"/>
      <c r="G2" s="87"/>
      <c r="H2" s="87"/>
      <c r="I2" s="87"/>
      <c r="J2" s="87"/>
      <c r="K2" s="87"/>
      <c r="L2" s="87"/>
      <c r="M2" s="87"/>
      <c r="N2" s="87"/>
      <c r="O2" s="87"/>
    </row>
    <row r="5" spans="2:15" ht="18.75">
      <c r="B5" s="88" t="s">
        <v>3173</v>
      </c>
      <c r="C5" s="87"/>
      <c r="D5" s="87"/>
      <c r="E5" s="87"/>
      <c r="F5" s="87"/>
      <c r="G5" s="87"/>
      <c r="H5" s="87"/>
      <c r="I5" s="87"/>
      <c r="J5" s="87"/>
      <c r="K5" s="87"/>
      <c r="L5" s="87"/>
    </row>
    <row r="9" spans="2:15">
      <c r="D9" s="89" t="s">
        <v>2877</v>
      </c>
    </row>
    <row r="10" spans="2:15">
      <c r="D10" s="90"/>
    </row>
    <row r="11" spans="2:15">
      <c r="D11" s="90"/>
    </row>
    <row r="12" spans="2:15">
      <c r="D12" s="91"/>
    </row>
    <row r="13" spans="2:15">
      <c r="D13" s="45" t="s">
        <v>2879</v>
      </c>
      <c r="I13" s="13" t="str">
        <f>IF(COUNTIF(D:D,"Reported")&gt;0,Show!$B$20,"!")&amp;"SE.01.01.19.01 Rows {"&amp;COLUMN($C$1)&amp;"}"&amp;"@ForceFilingCode:true"</f>
        <v>!SE.01.01.19.01 Rows {3}@ForceFilingCode:true</v>
      </c>
      <c r="J13" s="13" t="str">
        <f>IF(COUNTIF(D:D,"Reported")&gt;0,Show!$B$20,"!")&amp;"SE.01.01.19.01 Columns {"&amp;COLUMN($D$1)&amp;"}"</f>
        <v>!SE.01.01.19.01 Columns {4}</v>
      </c>
    </row>
    <row r="14" spans="2:15">
      <c r="B14" s="43" t="s">
        <v>2880</v>
      </c>
      <c r="C14" s="44" t="s">
        <v>2878</v>
      </c>
      <c r="D14" s="48"/>
    </row>
    <row r="15" spans="2:15">
      <c r="B15" s="47" t="s">
        <v>2881</v>
      </c>
      <c r="C15" s="44" t="s">
        <v>2878</v>
      </c>
      <c r="D15" s="46"/>
    </row>
    <row r="16" spans="2:15">
      <c r="B16" s="52" t="s">
        <v>3075</v>
      </c>
      <c r="C16" s="41" t="s">
        <v>2883</v>
      </c>
      <c r="D16" s="51"/>
    </row>
    <row r="17" spans="2:10">
      <c r="B17" s="52" t="s">
        <v>3174</v>
      </c>
      <c r="C17" s="41" t="s">
        <v>3158</v>
      </c>
      <c r="D17" s="51"/>
    </row>
    <row r="18" spans="2:10">
      <c r="B18" s="52" t="s">
        <v>3026</v>
      </c>
      <c r="C18" s="41" t="s">
        <v>2901</v>
      </c>
      <c r="D18" s="51"/>
    </row>
    <row r="19" spans="2:10">
      <c r="B19" s="52" t="s">
        <v>3172</v>
      </c>
      <c r="C19" s="41" t="s">
        <v>3160</v>
      </c>
      <c r="D19" s="51"/>
    </row>
    <row r="20" spans="2:10">
      <c r="B20" s="52" t="s">
        <v>2908</v>
      </c>
      <c r="C20" s="41" t="s">
        <v>2909</v>
      </c>
      <c r="D20" s="51"/>
    </row>
    <row r="21" spans="2:10">
      <c r="B21" s="52" t="s">
        <v>2912</v>
      </c>
      <c r="C21" s="41" t="s">
        <v>2913</v>
      </c>
      <c r="D21" s="51"/>
    </row>
    <row r="22" spans="2:10">
      <c r="B22" s="52" t="s">
        <v>2914</v>
      </c>
      <c r="C22" s="41" t="s">
        <v>2915</v>
      </c>
      <c r="D22" s="51"/>
    </row>
    <row r="23" spans="2:10">
      <c r="B23" s="52" t="s">
        <v>3027</v>
      </c>
      <c r="C23" s="41" t="s">
        <v>2923</v>
      </c>
      <c r="D23" s="51"/>
    </row>
    <row r="24" spans="2:10">
      <c r="B24" s="52" t="s">
        <v>3028</v>
      </c>
      <c r="C24" s="41" t="s">
        <v>2937</v>
      </c>
      <c r="D24" s="51"/>
    </row>
    <row r="25" spans="2:10">
      <c r="B25" s="52" t="s">
        <v>3082</v>
      </c>
      <c r="C25" s="41" t="s">
        <v>2961</v>
      </c>
      <c r="D25" s="51"/>
    </row>
    <row r="26" spans="2:10" ht="30">
      <c r="B26" s="52" t="s">
        <v>2992</v>
      </c>
      <c r="C26" s="41" t="s">
        <v>2993</v>
      </c>
      <c r="D26" s="51"/>
    </row>
    <row r="27" spans="2:10">
      <c r="B27" s="52" t="s">
        <v>2994</v>
      </c>
      <c r="C27" s="41" t="s">
        <v>2995</v>
      </c>
      <c r="D27" s="51"/>
    </row>
    <row r="28" spans="2:10">
      <c r="B28" s="52" t="s">
        <v>3161</v>
      </c>
      <c r="C28" s="41" t="s">
        <v>3162</v>
      </c>
      <c r="D28" s="51"/>
    </row>
    <row r="29" spans="2:10">
      <c r="I29" s="13" t="str">
        <f>IF(COUNTIF(D:D,"Reported")&gt;0,Show!$B$20&amp;Show!$B$20,"!!")&amp;"SE.01.01.19.01 Rows {"&amp;COLUMN($C$1)&amp;"}"</f>
        <v>!!SE.01.01.19.01 Rows {3}</v>
      </c>
      <c r="J29" s="13" t="str">
        <f>IF(COUNTIF(D:D,"Reported")&gt;0,Show!$B$20&amp;Show!$B$20,"!!")&amp;"SE.01.01.19.01 Columns {"&amp;COLUMN($D$1)&amp;"}"</f>
        <v>!!SE.01.01.19.01 Columns {4}</v>
      </c>
    </row>
  </sheetData>
  <sheetProtection sheet="1" objects="1" scenarios="1"/>
  <mergeCells count="3">
    <mergeCell ref="B2:O2"/>
    <mergeCell ref="B5:L5"/>
    <mergeCell ref="D9:D12"/>
  </mergeCells>
  <dataValidations count="11">
    <dataValidation type="list" errorStyle="warning" allowBlank="1" showInputMessage="1" showErrorMessage="1" sqref="D16" xr:uid="{7AC60D16-8D7F-4D4E-B18E-D5E01C92000A}">
      <formula1>hier_CN_2</formula1>
    </dataValidation>
    <dataValidation type="list" errorStyle="warning" allowBlank="1" showInputMessage="1" showErrorMessage="1" sqref="D17" xr:uid="{05013D0C-1F71-479F-8F25-8DF4CC67DAF1}">
      <formula1>hier_CN_106</formula1>
    </dataValidation>
    <dataValidation type="list" errorStyle="warning" allowBlank="1" showInputMessage="1" showErrorMessage="1" sqref="D18 D25" xr:uid="{270B8A54-E345-47F1-9CEB-CB660DC550D1}">
      <formula1>hier_CN_115</formula1>
    </dataValidation>
    <dataValidation type="list" errorStyle="warning" allowBlank="1" showInputMessage="1" showErrorMessage="1" sqref="D19" xr:uid="{25A403D5-607E-40C0-AA01-0593710DAA8B}">
      <formula1>hier_CN_97</formula1>
    </dataValidation>
    <dataValidation type="list" errorStyle="warning" allowBlank="1" showInputMessage="1" showErrorMessage="1" sqref="D20" xr:uid="{8B57DB5F-669A-4722-BCE9-D93B8D319065}">
      <formula1>hier_CN_119</formula1>
    </dataValidation>
    <dataValidation type="list" errorStyle="warning" allowBlank="1" showInputMessage="1" showErrorMessage="1" sqref="D21 D22" xr:uid="{4EE51365-9358-4916-AFAD-A1BD732196BF}">
      <formula1>hier_CN_100</formula1>
    </dataValidation>
    <dataValidation type="list" errorStyle="warning" allowBlank="1" showInputMessage="1" showErrorMessage="1" sqref="D23" xr:uid="{156EE8BD-E849-4EF0-B763-895B29012373}">
      <formula1>hier_CN_103</formula1>
    </dataValidation>
    <dataValidation type="list" errorStyle="warning" allowBlank="1" showInputMessage="1" showErrorMessage="1" sqref="D24" xr:uid="{1C510E3C-31CC-40CD-9C05-35FD66033EB2}">
      <formula1>hier_CN_104</formula1>
    </dataValidation>
    <dataValidation type="list" errorStyle="warning" allowBlank="1" showInputMessage="1" showErrorMessage="1" sqref="D26" xr:uid="{B759776C-FD7E-4FF4-A946-5C55CEF09F8A}">
      <formula1>hier_CN_85</formula1>
    </dataValidation>
    <dataValidation type="list" errorStyle="warning" allowBlank="1" showInputMessage="1" showErrorMessage="1" sqref="D27" xr:uid="{846C76B0-FE6E-4AD6-B24A-32FCE1B7CC0D}">
      <formula1>hier_CN_86</formula1>
    </dataValidation>
    <dataValidation type="list" errorStyle="warning" allowBlank="1" showInputMessage="1" showErrorMessage="1" sqref="D28" xr:uid="{F488C61A-F0B7-4AE5-807E-2B543E3BE493}">
      <formula1>hier_CN_122</formula1>
    </dataValidation>
  </dataValidations>
  <hyperlinks>
    <hyperlink ref="B16" location="'S.01.02.07'!A1" display="S.01.02.07 - Basic Information - General" xr:uid="{9F72FEF0-1F9F-4096-85A6-EEF30C59750F}"/>
    <hyperlink ref="B17" location="'SE.02.01.19'!A1" display="SE.02.01.19 - Balance Sheet" xr:uid="{E978C8C1-53BB-42FD-9FCE-A4BF3A7F218D}"/>
    <hyperlink ref="B18" location="'S.05.01.02'!A1" display="S.05.01.02 - Premiums, claims and expenses by line of business" xr:uid="{1259E198-AA86-41F3-B202-A29D272C9F55}"/>
    <hyperlink ref="B19" location="'SE.06.02.18'!A1" display="SE.06.02.18 - List of assets" xr:uid="{E623E814-42BE-4740-8BC4-03EC8627016A}"/>
    <hyperlink ref="B20" location="'S.06.03.01'!A1" display="S.06.03.01 - Collective investment undertakings - look-through approach" xr:uid="{9B48F8D3-0616-48ED-8E81-1F9A9668DAA2}"/>
    <hyperlink ref="B21" location="'S.08.01.01'!A1" display="S.08.01.01 - Open derivatives" xr:uid="{C081078D-65F8-40FE-8FFD-053D6B6FE029}"/>
    <hyperlink ref="B22" location="'S.08.02.01'!A1" display="S.08.02.01 - Derivatives Transactions" xr:uid="{1AD23E9A-CF48-4842-8A21-0F8D41C3BD9C}"/>
    <hyperlink ref="B23" location="'S.12.01.02'!A1" display="S.12.01.02 - Life and Health SLT Technical Provisions" xr:uid="{70E466D4-5B0C-4125-98A0-ED8C24980283}"/>
    <hyperlink ref="B24" location="'S.17.01.02'!A1" display="S.17.01.02 - Non-Life Technical Provisions" xr:uid="{B7C2DED8-3AC5-456A-98CA-71D2181E5C8F}"/>
    <hyperlink ref="B25" location="'S.23.01.07'!A1" display="S.23.01.07 - Own funds" xr:uid="{7F77166A-EA61-40E5-8687-DC5EDA23A798}"/>
    <hyperlink ref="B26" location="'S.28.01.01'!A1" display="S.28.01.01 - Minimum Capital Requirement - Only life or only non-life insurance or reinsurance activity" xr:uid="{4279A51A-BC2C-4BD9-8AA6-DF0950BA8764}"/>
    <hyperlink ref="B27" location="'S.28.02.01'!A1" display="S.28.02.01 - Minimum Capital Requirement - Both life and non-life insurance activity" xr:uid="{4C4CA193-9761-494D-966D-3FB565B924D4}"/>
    <hyperlink ref="B28" location="'E.01.01.16'!A1" display="E.01.01.16 - Deposits to cedants - line-by-line reporting" xr:uid="{3A2C2894-8D26-4230-8A24-462C54145DD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429A7-F305-47B0-9291-1A1D71799122}">
  <sheetPr codeName="Blad25"/>
  <dimension ref="B2:O39"/>
  <sheetViews>
    <sheetView showGridLines="0" workbookViewId="0">
      <selection activeCell="D14" sqref="D14"/>
    </sheetView>
  </sheetViews>
  <sheetFormatPr defaultRowHeight="15"/>
  <cols>
    <col min="2" max="2" width="85.85546875" bestFit="1" customWidth="1"/>
    <col min="4" max="4" width="40.7109375" customWidth="1"/>
  </cols>
  <sheetData>
    <row r="2" spans="2:15" ht="23.25">
      <c r="B2" s="86" t="s">
        <v>536</v>
      </c>
      <c r="C2" s="87"/>
      <c r="D2" s="87"/>
      <c r="E2" s="87"/>
      <c r="F2" s="87"/>
      <c r="G2" s="87"/>
      <c r="H2" s="87"/>
      <c r="I2" s="87"/>
      <c r="J2" s="87"/>
      <c r="K2" s="87"/>
      <c r="L2" s="87"/>
      <c r="M2" s="87"/>
      <c r="N2" s="87"/>
      <c r="O2" s="87"/>
    </row>
    <row r="5" spans="2:15" ht="18.75">
      <c r="B5" s="88" t="s">
        <v>3175</v>
      </c>
      <c r="C5" s="87"/>
      <c r="D5" s="87"/>
      <c r="E5" s="87"/>
      <c r="F5" s="87"/>
      <c r="G5" s="87"/>
      <c r="H5" s="87"/>
      <c r="I5" s="87"/>
      <c r="J5" s="87"/>
      <c r="K5" s="87"/>
      <c r="L5" s="87"/>
    </row>
    <row r="9" spans="2:15">
      <c r="D9" s="89" t="s">
        <v>2877</v>
      </c>
    </row>
    <row r="10" spans="2:15">
      <c r="D10" s="90"/>
    </row>
    <row r="11" spans="2:15">
      <c r="D11" s="91"/>
    </row>
    <row r="12" spans="2:15">
      <c r="D12" s="45" t="s">
        <v>2879</v>
      </c>
      <c r="I12" s="13" t="str">
        <f>Show!$B$21&amp;"S.01.02.01.01 Rows {"&amp;COLUMN($C$1)&amp;"}"&amp;"@ForceFilingCode:true"</f>
        <v>!S.01.02.01.01 Rows {3}@ForceFilingCode:true</v>
      </c>
      <c r="J12" s="13" t="str">
        <f>Show!$B$21&amp;"S.01.02.01.01 Columns {"&amp;COLUMN($D$1)&amp;"}"</f>
        <v>!S.01.02.01.01 Columns {4}</v>
      </c>
    </row>
    <row r="13" spans="2:15">
      <c r="B13" s="43" t="s">
        <v>2880</v>
      </c>
      <c r="C13" s="44" t="s">
        <v>2878</v>
      </c>
      <c r="D13" s="46"/>
    </row>
    <row r="14" spans="2:15">
      <c r="B14" s="47" t="s">
        <v>3176</v>
      </c>
      <c r="C14" s="41" t="s">
        <v>2883</v>
      </c>
      <c r="D14" s="51"/>
    </row>
    <row r="15" spans="2:15">
      <c r="B15" s="47" t="s">
        <v>3177</v>
      </c>
      <c r="C15" s="41" t="s">
        <v>2885</v>
      </c>
      <c r="D15" s="51"/>
    </row>
    <row r="16" spans="2:15">
      <c r="B16" s="47" t="s">
        <v>3178</v>
      </c>
      <c r="C16" s="41" t="s">
        <v>2889</v>
      </c>
      <c r="D16" s="51"/>
    </row>
    <row r="17" spans="2:4">
      <c r="B17" s="47" t="s">
        <v>3179</v>
      </c>
      <c r="C17" s="41" t="s">
        <v>3078</v>
      </c>
      <c r="D17" s="51"/>
    </row>
    <row r="18" spans="2:4">
      <c r="B18" s="47" t="s">
        <v>3180</v>
      </c>
      <c r="C18" s="41" t="s">
        <v>2893</v>
      </c>
      <c r="D18" s="51"/>
    </row>
    <row r="19" spans="2:4">
      <c r="B19" s="47" t="s">
        <v>3181</v>
      </c>
      <c r="C19" s="41" t="s">
        <v>2895</v>
      </c>
      <c r="D19" s="54"/>
    </row>
    <row r="20" spans="2:4">
      <c r="B20" s="47" t="s">
        <v>3182</v>
      </c>
      <c r="C20" s="41" t="s">
        <v>3183</v>
      </c>
      <c r="D20" s="54"/>
    </row>
    <row r="21" spans="2:4">
      <c r="B21" s="47" t="s">
        <v>3184</v>
      </c>
      <c r="C21" s="41" t="s">
        <v>2897</v>
      </c>
      <c r="D21" s="54"/>
    </row>
    <row r="22" spans="2:4">
      <c r="B22" s="47" t="s">
        <v>3185</v>
      </c>
      <c r="C22" s="41" t="s">
        <v>2899</v>
      </c>
      <c r="D22" s="51"/>
    </row>
    <row r="23" spans="2:4">
      <c r="B23" s="47" t="s">
        <v>3186</v>
      </c>
      <c r="C23" s="41" t="s">
        <v>2901</v>
      </c>
      <c r="D23" s="51"/>
    </row>
    <row r="24" spans="2:4">
      <c r="B24" s="47" t="s">
        <v>3187</v>
      </c>
      <c r="C24" s="41" t="s">
        <v>2903</v>
      </c>
      <c r="D24" s="51"/>
    </row>
    <row r="25" spans="2:4">
      <c r="B25" s="47" t="s">
        <v>3188</v>
      </c>
      <c r="C25" s="41" t="s">
        <v>2905</v>
      </c>
      <c r="D25" s="51"/>
    </row>
    <row r="26" spans="2:4">
      <c r="B26" s="47" t="s">
        <v>1172</v>
      </c>
      <c r="C26" s="41" t="s">
        <v>2907</v>
      </c>
      <c r="D26" s="51"/>
    </row>
    <row r="27" spans="2:4">
      <c r="B27" s="47" t="s">
        <v>3189</v>
      </c>
      <c r="C27" s="41" t="s">
        <v>2909</v>
      </c>
      <c r="D27" s="51"/>
    </row>
    <row r="28" spans="2:4">
      <c r="B28" s="47" t="s">
        <v>3190</v>
      </c>
      <c r="C28" s="41" t="s">
        <v>2913</v>
      </c>
      <c r="D28" s="51"/>
    </row>
    <row r="29" spans="2:4">
      <c r="B29" s="47" t="s">
        <v>3191</v>
      </c>
      <c r="C29" s="41" t="s">
        <v>2915</v>
      </c>
      <c r="D29" s="51"/>
    </row>
    <row r="30" spans="2:4">
      <c r="B30" s="47" t="s">
        <v>3192</v>
      </c>
      <c r="C30" s="41" t="s">
        <v>2917</v>
      </c>
      <c r="D30" s="51"/>
    </row>
    <row r="31" spans="2:4">
      <c r="B31" s="47" t="s">
        <v>3193</v>
      </c>
      <c r="C31" s="41" t="s">
        <v>2919</v>
      </c>
      <c r="D31" s="51"/>
    </row>
    <row r="32" spans="2:4">
      <c r="B32" s="47" t="s">
        <v>3194</v>
      </c>
      <c r="C32" s="41" t="s">
        <v>2921</v>
      </c>
      <c r="D32" s="51"/>
    </row>
    <row r="33" spans="2:10">
      <c r="B33" s="47" t="s">
        <v>3195</v>
      </c>
      <c r="C33" s="41" t="s">
        <v>2929</v>
      </c>
      <c r="D33" s="51"/>
    </row>
    <row r="34" spans="2:10">
      <c r="B34" s="47" t="s">
        <v>3196</v>
      </c>
      <c r="C34" s="41" t="s">
        <v>3197</v>
      </c>
      <c r="D34" s="51"/>
    </row>
    <row r="35" spans="2:10" ht="30">
      <c r="B35" s="47" t="s">
        <v>3198</v>
      </c>
      <c r="C35" s="41" t="s">
        <v>2931</v>
      </c>
      <c r="D35" s="51"/>
    </row>
    <row r="36" spans="2:10">
      <c r="B36" s="47" t="s">
        <v>3199</v>
      </c>
      <c r="C36" s="41" t="s">
        <v>3200</v>
      </c>
      <c r="D36" s="51"/>
    </row>
    <row r="37" spans="2:10">
      <c r="B37" s="47" t="s">
        <v>3201</v>
      </c>
      <c r="C37" s="41" t="s">
        <v>3202</v>
      </c>
      <c r="D37" s="51"/>
    </row>
    <row r="38" spans="2:10">
      <c r="B38" s="47" t="s">
        <v>3203</v>
      </c>
      <c r="C38" s="41" t="s">
        <v>3204</v>
      </c>
      <c r="D38" s="51"/>
    </row>
    <row r="39" spans="2:10">
      <c r="I39" s="13" t="str">
        <f>Show!$B$21&amp;Show!$B$21&amp;"S.01.02.01.01 Rows {"&amp;COLUMN($C$1)&amp;"}"</f>
        <v>!!S.01.02.01.01 Rows {3}</v>
      </c>
      <c r="J39" s="13" t="str">
        <f>Show!$B$21&amp;Show!$B$21&amp;"S.01.02.01.01 Columns {"&amp;COLUMN($D$1)&amp;"}"</f>
        <v>!!S.01.02.01.01 Columns {4}</v>
      </c>
    </row>
  </sheetData>
  <sheetProtection sheet="1" objects="1" scenarios="1"/>
  <mergeCells count="3">
    <mergeCell ref="B2:O2"/>
    <mergeCell ref="B5:L5"/>
    <mergeCell ref="D9:D11"/>
  </mergeCells>
  <dataValidations count="16">
    <dataValidation type="list" errorStyle="warning" allowBlank="1" showInputMessage="1" showErrorMessage="1" sqref="D16" xr:uid="{BF31BE55-6FD7-43B0-AA7B-B8642D24ADF3}">
      <formula1>hier_SE_21</formula1>
    </dataValidation>
    <dataValidation type="list" errorStyle="warning" allowBlank="1" showInputMessage="1" showErrorMessage="1" sqref="D17" xr:uid="{9871D713-FE7F-467E-B12F-BE8013B26AF3}">
      <formula1>hier_GA_1</formula1>
    </dataValidation>
    <dataValidation type="list" errorStyle="warning" allowBlank="1" showInputMessage="1" showErrorMessage="1" sqref="D18" xr:uid="{0238DF4D-EAD6-4084-B363-9735868F1141}">
      <formula1>hier_LA_1</formula1>
    </dataValidation>
    <dataValidation type="date" operator="greaterThan" allowBlank="1" showInputMessage="1" showErrorMessage="1" errorTitle="Date value" error="This cell can only contain dates" sqref="D19:D21" xr:uid="{D1E4312F-43AD-436F-8AEC-F924F3FD05CA}">
      <formula1>1</formula1>
    </dataValidation>
    <dataValidation type="list" errorStyle="warning" allowBlank="1" showInputMessage="1" showErrorMessage="1" sqref="D22" xr:uid="{E664F6AF-53C1-4ED1-ADF9-DAFC013A6F53}">
      <formula1>hier_CS_12</formula1>
    </dataValidation>
    <dataValidation type="list" errorStyle="warning" allowBlank="1" showInputMessage="1" showErrorMessage="1" sqref="D23" xr:uid="{3AF9DF45-9AC8-4525-84B1-5A18DEB45F74}">
      <formula1>hier_CU_5</formula1>
    </dataValidation>
    <dataValidation type="list" errorStyle="warning" allowBlank="1" showInputMessage="1" showErrorMessage="1" sqref="D24" xr:uid="{AC9DBE10-DE2B-4881-929B-981A00FC9F5F}">
      <formula1>hier_AM_11</formula1>
    </dataValidation>
    <dataValidation type="list" errorStyle="warning" allowBlank="1" showInputMessage="1" showErrorMessage="1" sqref="D25" xr:uid="{169F8727-BC49-412A-A897-2535E835464A}">
      <formula1>hier_AP_3</formula1>
    </dataValidation>
    <dataValidation type="list" errorStyle="warning" allowBlank="1" showInputMessage="1" showErrorMessage="1" sqref="D26" xr:uid="{FAD45EA7-D9EC-4C95-B711-9C3263964F55}">
      <formula1>hier_AP_4</formula1>
    </dataValidation>
    <dataValidation type="list" errorStyle="warning" allowBlank="1" showInputMessage="1" showErrorMessage="1" sqref="D27" xr:uid="{6808E359-B954-4FB3-98D1-B102740521F0}">
      <formula1>hier_PU_23</formula1>
    </dataValidation>
    <dataValidation type="list" errorStyle="warning" allowBlank="1" showInputMessage="1" showErrorMessage="1" sqref="D28" xr:uid="{EA1EB45F-5424-4FE8-AE38-D98C619B2F30}">
      <formula1>hier_PU_15</formula1>
    </dataValidation>
    <dataValidation type="list" errorStyle="warning" allowBlank="1" showInputMessage="1" showErrorMessage="1" sqref="D29" xr:uid="{7D9EF81E-5F3B-47E4-B77C-031B045A1B89}">
      <formula1>hier_AP_5</formula1>
    </dataValidation>
    <dataValidation type="list" errorStyle="warning" allowBlank="1" showInputMessage="1" showErrorMessage="1" sqref="D30" xr:uid="{669BD12F-40D2-4198-8C26-FB83856FFD85}">
      <formula1>hier_AP_6</formula1>
    </dataValidation>
    <dataValidation type="list" errorStyle="warning" allowBlank="1" showInputMessage="1" showErrorMessage="1" sqref="D31" xr:uid="{EDF6F628-3110-4994-9D4A-BD5D1042A6DD}">
      <formula1>hier_AP_7</formula1>
    </dataValidation>
    <dataValidation type="list" errorStyle="warning" allowBlank="1" showInputMessage="1" showErrorMessage="1" sqref="D32" xr:uid="{F40B94CE-6C2A-447D-950B-13330C18B8D1}">
      <formula1>hier_CS_13</formula1>
    </dataValidation>
    <dataValidation type="list" errorStyle="warning" allowBlank="1" showInputMessage="1" showErrorMessage="1" sqref="D33" xr:uid="{CA06C1AE-3F24-4F02-917B-FC0E12E0B4B0}">
      <formula1>hier_CN_127</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30D1F-F0E0-45AC-9908-3FE84EF1804D}">
  <sheetPr codeName="Blad26"/>
  <dimension ref="B2:O40"/>
  <sheetViews>
    <sheetView showGridLines="0" workbookViewId="0"/>
  </sheetViews>
  <sheetFormatPr defaultRowHeight="15"/>
  <cols>
    <col min="2" max="2" width="85.85546875" bestFit="1" customWidth="1"/>
    <col min="4" max="4" width="40.7109375" customWidth="1"/>
  </cols>
  <sheetData>
    <row r="2" spans="2:15" ht="23.25">
      <c r="B2" s="86" t="s">
        <v>536</v>
      </c>
      <c r="C2" s="87"/>
      <c r="D2" s="87"/>
      <c r="E2" s="87"/>
      <c r="F2" s="87"/>
      <c r="G2" s="87"/>
      <c r="H2" s="87"/>
      <c r="I2" s="87"/>
      <c r="J2" s="87"/>
      <c r="K2" s="87"/>
      <c r="L2" s="87"/>
      <c r="M2" s="87"/>
      <c r="N2" s="87"/>
      <c r="O2" s="87"/>
    </row>
    <row r="5" spans="2:15" ht="18.75">
      <c r="B5" s="88" t="s">
        <v>3205</v>
      </c>
      <c r="C5" s="87"/>
      <c r="D5" s="87"/>
      <c r="E5" s="87"/>
      <c r="F5" s="87"/>
      <c r="G5" s="87"/>
      <c r="H5" s="87"/>
      <c r="I5" s="87"/>
      <c r="J5" s="87"/>
      <c r="K5" s="87"/>
      <c r="L5" s="87"/>
    </row>
    <row r="9" spans="2:15">
      <c r="D9" s="89" t="s">
        <v>2877</v>
      </c>
    </row>
    <row r="10" spans="2:15">
      <c r="D10" s="90"/>
    </row>
    <row r="11" spans="2:15">
      <c r="D11" s="91"/>
    </row>
    <row r="12" spans="2:15">
      <c r="D12" s="45" t="s">
        <v>2879</v>
      </c>
      <c r="I12" s="13" t="str">
        <f>Show!$B$22&amp;"S.01.02.04.01 Rows {"&amp;COLUMN($C$1)&amp;"}"&amp;"@ForceFilingCode:true"</f>
        <v>!S.01.02.04.01 Rows {3}@ForceFilingCode:true</v>
      </c>
      <c r="J12" s="13" t="str">
        <f>Show!$B$22&amp;"S.01.02.04.01 Columns {"&amp;COLUMN($D$1)&amp;"}"</f>
        <v>!S.01.02.04.01 Columns {4}</v>
      </c>
    </row>
    <row r="13" spans="2:15">
      <c r="B13" s="43" t="s">
        <v>2880</v>
      </c>
      <c r="C13" s="44" t="s">
        <v>2878</v>
      </c>
      <c r="D13" s="46"/>
    </row>
    <row r="14" spans="2:15">
      <c r="B14" s="47" t="s">
        <v>3206</v>
      </c>
      <c r="C14" s="41" t="s">
        <v>2883</v>
      </c>
      <c r="D14" s="51"/>
    </row>
    <row r="15" spans="2:15">
      <c r="B15" s="47" t="s">
        <v>3207</v>
      </c>
      <c r="C15" s="41" t="s">
        <v>2885</v>
      </c>
      <c r="D15" s="51"/>
    </row>
    <row r="16" spans="2:15">
      <c r="B16" s="47" t="s">
        <v>3208</v>
      </c>
      <c r="C16" s="41" t="s">
        <v>3078</v>
      </c>
      <c r="D16" s="51"/>
    </row>
    <row r="17" spans="2:4">
      <c r="B17" s="47" t="s">
        <v>2746</v>
      </c>
      <c r="C17" s="41" t="s">
        <v>2891</v>
      </c>
      <c r="D17" s="51"/>
    </row>
    <row r="18" spans="2:4">
      <c r="B18" s="47" t="s">
        <v>3180</v>
      </c>
      <c r="C18" s="41" t="s">
        <v>2893</v>
      </c>
      <c r="D18" s="51"/>
    </row>
    <row r="19" spans="2:4">
      <c r="B19" s="47" t="s">
        <v>3181</v>
      </c>
      <c r="C19" s="41" t="s">
        <v>2895</v>
      </c>
      <c r="D19" s="54"/>
    </row>
    <row r="20" spans="2:4">
      <c r="B20" s="47" t="s">
        <v>3182</v>
      </c>
      <c r="C20" s="41" t="s">
        <v>3183</v>
      </c>
      <c r="D20" s="54"/>
    </row>
    <row r="21" spans="2:4">
      <c r="B21" s="47" t="s">
        <v>3184</v>
      </c>
      <c r="C21" s="41" t="s">
        <v>2897</v>
      </c>
      <c r="D21" s="54"/>
    </row>
    <row r="22" spans="2:4">
      <c r="B22" s="47" t="s">
        <v>3185</v>
      </c>
      <c r="C22" s="41" t="s">
        <v>2899</v>
      </c>
      <c r="D22" s="51"/>
    </row>
    <row r="23" spans="2:4">
      <c r="B23" s="47" t="s">
        <v>3186</v>
      </c>
      <c r="C23" s="41" t="s">
        <v>2901</v>
      </c>
      <c r="D23" s="51"/>
    </row>
    <row r="24" spans="2:4">
      <c r="B24" s="47" t="s">
        <v>3187</v>
      </c>
      <c r="C24" s="41" t="s">
        <v>2903</v>
      </c>
      <c r="D24" s="51"/>
    </row>
    <row r="25" spans="2:4">
      <c r="B25" s="47" t="s">
        <v>3209</v>
      </c>
      <c r="C25" s="41" t="s">
        <v>2905</v>
      </c>
      <c r="D25" s="51"/>
    </row>
    <row r="26" spans="2:4">
      <c r="B26" s="47" t="s">
        <v>2749</v>
      </c>
      <c r="C26" s="41" t="s">
        <v>2907</v>
      </c>
      <c r="D26" s="51"/>
    </row>
    <row r="27" spans="2:4">
      <c r="B27" s="47" t="s">
        <v>3189</v>
      </c>
      <c r="C27" s="41" t="s">
        <v>2909</v>
      </c>
      <c r="D27" s="51"/>
    </row>
    <row r="28" spans="2:4">
      <c r="B28" s="47" t="s">
        <v>3210</v>
      </c>
      <c r="C28" s="41" t="s">
        <v>2911</v>
      </c>
      <c r="D28" s="51"/>
    </row>
    <row r="29" spans="2:4">
      <c r="B29" s="47" t="s">
        <v>3190</v>
      </c>
      <c r="C29" s="41" t="s">
        <v>2913</v>
      </c>
      <c r="D29" s="51"/>
    </row>
    <row r="30" spans="2:4">
      <c r="B30" s="47" t="s">
        <v>3191</v>
      </c>
      <c r="C30" s="41" t="s">
        <v>2915</v>
      </c>
      <c r="D30" s="51"/>
    </row>
    <row r="31" spans="2:4">
      <c r="B31" s="47" t="s">
        <v>3192</v>
      </c>
      <c r="C31" s="41" t="s">
        <v>2917</v>
      </c>
      <c r="D31" s="51"/>
    </row>
    <row r="32" spans="2:4">
      <c r="B32" s="47" t="s">
        <v>3193</v>
      </c>
      <c r="C32" s="41" t="s">
        <v>2919</v>
      </c>
      <c r="D32" s="51"/>
    </row>
    <row r="33" spans="2:10">
      <c r="B33" s="47" t="s">
        <v>3194</v>
      </c>
      <c r="C33" s="41" t="s">
        <v>2921</v>
      </c>
      <c r="D33" s="51"/>
    </row>
    <row r="34" spans="2:10">
      <c r="B34" s="47" t="s">
        <v>3195</v>
      </c>
      <c r="C34" s="41" t="s">
        <v>2929</v>
      </c>
      <c r="D34" s="51"/>
    </row>
    <row r="35" spans="2:10">
      <c r="B35" s="47" t="s">
        <v>3196</v>
      </c>
      <c r="C35" s="41" t="s">
        <v>3197</v>
      </c>
      <c r="D35" s="51"/>
    </row>
    <row r="36" spans="2:10" ht="30">
      <c r="B36" s="47" t="s">
        <v>3198</v>
      </c>
      <c r="C36" s="41" t="s">
        <v>2931</v>
      </c>
      <c r="D36" s="51"/>
    </row>
    <row r="37" spans="2:10">
      <c r="B37" s="47" t="s">
        <v>3199</v>
      </c>
      <c r="C37" s="41" t="s">
        <v>3200</v>
      </c>
      <c r="D37" s="51"/>
    </row>
    <row r="38" spans="2:10">
      <c r="B38" s="47" t="s">
        <v>3201</v>
      </c>
      <c r="C38" s="41" t="s">
        <v>3202</v>
      </c>
      <c r="D38" s="51"/>
    </row>
    <row r="39" spans="2:10">
      <c r="B39" s="47" t="s">
        <v>3203</v>
      </c>
      <c r="C39" s="41" t="s">
        <v>3204</v>
      </c>
      <c r="D39" s="51"/>
    </row>
    <row r="40" spans="2:10">
      <c r="I40" s="13" t="str">
        <f>Show!$B$22&amp;Show!$B$22&amp;"S.01.02.04.01 Rows {"&amp;COLUMN($C$1)&amp;"}"</f>
        <v>!!S.01.02.04.01 Rows {3}</v>
      </c>
      <c r="J40" s="13" t="str">
        <f>Show!$B$22&amp;Show!$B$22&amp;"S.01.02.04.01 Columns {"&amp;COLUMN($D$1)&amp;"}"</f>
        <v>!!S.01.02.04.01 Columns {4}</v>
      </c>
    </row>
  </sheetData>
  <sheetProtection sheet="1" objects="1" scenarios="1"/>
  <mergeCells count="3">
    <mergeCell ref="B2:O2"/>
    <mergeCell ref="B5:L5"/>
    <mergeCell ref="D9:D11"/>
  </mergeCells>
  <dataValidations count="17">
    <dataValidation type="list" errorStyle="warning" allowBlank="1" showInputMessage="1" showErrorMessage="1" sqref="D16" xr:uid="{5CAE548B-7235-4898-BF91-230960C1B861}">
      <formula1>hier_GA_1</formula1>
    </dataValidation>
    <dataValidation type="list" errorStyle="warning" allowBlank="1" showInputMessage="1" showErrorMessage="1" sqref="D17" xr:uid="{2C4467D8-3B2D-4C8A-888D-6E5BDDC40CA0}">
      <formula1>hier_CS_14</formula1>
    </dataValidation>
    <dataValidation type="list" errorStyle="warning" allowBlank="1" showInputMessage="1" showErrorMessage="1" sqref="D18" xr:uid="{2680AB74-2EF9-4820-A1BE-9ED090F1760C}">
      <formula1>hier_LA_1</formula1>
    </dataValidation>
    <dataValidation type="date" operator="greaterThan" allowBlank="1" showInputMessage="1" showErrorMessage="1" errorTitle="Date value" error="This cell can only contain dates" sqref="D19:D21" xr:uid="{3E08D439-1146-4D09-A32B-AD2D3649D026}">
      <formula1>1</formula1>
    </dataValidation>
    <dataValidation type="list" errorStyle="warning" allowBlank="1" showInputMessage="1" showErrorMessage="1" sqref="D22" xr:uid="{4BCFF823-81D2-4E40-A513-B2A6A7C25E60}">
      <formula1>hier_CS_21</formula1>
    </dataValidation>
    <dataValidation type="list" errorStyle="warning" allowBlank="1" showInputMessage="1" showErrorMessage="1" sqref="D23" xr:uid="{D33FC9BF-F9DC-4099-A8EC-04DC290899A1}">
      <formula1>hier_CU_5</formula1>
    </dataValidation>
    <dataValidation type="list" errorStyle="warning" allowBlank="1" showInputMessage="1" showErrorMessage="1" sqref="D24" xr:uid="{C3D26D48-7E36-45D0-9212-2750E72BA597}">
      <formula1>hier_AM_11</formula1>
    </dataValidation>
    <dataValidation type="list" errorStyle="warning" allowBlank="1" showInputMessage="1" showErrorMessage="1" sqref="D25" xr:uid="{CE805A2E-A182-40B0-A1B3-02E55C02FF82}">
      <formula1>hier_AP_3</formula1>
    </dataValidation>
    <dataValidation type="list" errorStyle="warning" allowBlank="1" showInputMessage="1" showErrorMessage="1" sqref="D26" xr:uid="{0A5BA273-D254-4AF9-B29C-14557B7B06EE}">
      <formula1>hier_AP_8</formula1>
    </dataValidation>
    <dataValidation type="list" errorStyle="warning" allowBlank="1" showInputMessage="1" showErrorMessage="1" sqref="D27" xr:uid="{A3B2443B-F4EB-4F93-86BA-44CB81552C86}">
      <formula1>hier_PU_23</formula1>
    </dataValidation>
    <dataValidation type="list" errorStyle="warning" allowBlank="1" showInputMessage="1" showErrorMessage="1" sqref="D28" xr:uid="{5B6B00F9-A4A3-40A5-89F4-F7DAD010C93C}">
      <formula1>hier_CS_15</formula1>
    </dataValidation>
    <dataValidation type="list" errorStyle="warning" allowBlank="1" showInputMessage="1" showErrorMessage="1" sqref="D29" xr:uid="{5E55A91E-583B-418F-9FB2-A026E4D46316}">
      <formula1>hier_PU_15</formula1>
    </dataValidation>
    <dataValidation type="list" errorStyle="warning" allowBlank="1" showInputMessage="1" showErrorMessage="1" sqref="D30" xr:uid="{A935C76F-37C9-460D-9CD5-8D2E9C55F21E}">
      <formula1>hier_AP_5</formula1>
    </dataValidation>
    <dataValidation type="list" errorStyle="warning" allowBlank="1" showInputMessage="1" showErrorMessage="1" sqref="D31" xr:uid="{0F8F2D69-5D00-413C-9FC6-49FBB6FDE91B}">
      <formula1>hier_AP_6</formula1>
    </dataValidation>
    <dataValidation type="list" errorStyle="warning" allowBlank="1" showInputMessage="1" showErrorMessage="1" sqref="D32" xr:uid="{5941C4A9-DBD2-480A-8039-25B225CFDC2C}">
      <formula1>hier_AP_7</formula1>
    </dataValidation>
    <dataValidation type="list" errorStyle="warning" allowBlank="1" showInputMessage="1" showErrorMessage="1" sqref="D33" xr:uid="{B9BCC881-9DCD-4F33-867B-941C4B3D7BFA}">
      <formula1>hier_CS_13</formula1>
    </dataValidation>
    <dataValidation type="list" errorStyle="warning" allowBlank="1" showInputMessage="1" showErrorMessage="1" sqref="D34" xr:uid="{8AD0FF12-B10D-452E-880D-28A7F4AF26AC}">
      <formula1>hier_CN_127</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3C995-7B26-409F-B88C-11D9EF2CCE8B}">
  <sheetPr codeName="Blad27"/>
  <dimension ref="B2:O63"/>
  <sheetViews>
    <sheetView showGridLines="0" workbookViewId="0"/>
  </sheetViews>
  <sheetFormatPr defaultRowHeight="15"/>
  <cols>
    <col min="2" max="2" width="57.5703125" bestFit="1" customWidth="1"/>
    <col min="3" max="4" width="40.7109375" customWidth="1"/>
  </cols>
  <sheetData>
    <row r="2" spans="2:15" ht="23.25">
      <c r="B2" s="86" t="s">
        <v>539</v>
      </c>
      <c r="C2" s="87"/>
      <c r="D2" s="87"/>
      <c r="E2" s="87"/>
      <c r="F2" s="87"/>
      <c r="G2" s="87"/>
      <c r="H2" s="87"/>
      <c r="I2" s="87"/>
      <c r="J2" s="87"/>
      <c r="K2" s="87"/>
      <c r="L2" s="87"/>
      <c r="M2" s="87"/>
      <c r="N2" s="87"/>
      <c r="O2" s="87"/>
    </row>
    <row r="5" spans="2:15" ht="18.75">
      <c r="B5" s="88" t="s">
        <v>3211</v>
      </c>
      <c r="C5" s="87"/>
      <c r="D5" s="87"/>
      <c r="E5" s="87"/>
      <c r="F5" s="87"/>
      <c r="G5" s="87"/>
      <c r="H5" s="87"/>
      <c r="I5" s="87"/>
      <c r="J5" s="87"/>
      <c r="K5" s="87"/>
      <c r="L5" s="87"/>
    </row>
    <row r="9" spans="2:15">
      <c r="D9" s="89" t="s">
        <v>2877</v>
      </c>
    </row>
    <row r="10" spans="2:15">
      <c r="D10" s="90"/>
    </row>
    <row r="11" spans="2:15">
      <c r="D11" s="91"/>
    </row>
    <row r="12" spans="2:15">
      <c r="D12" s="45" t="s">
        <v>2879</v>
      </c>
      <c r="L12" s="13" t="str">
        <f>Show!$B$23&amp;"S.01.02.07.01 Rows {"&amp;COLUMN($C$1)&amp;"}"&amp;"@ForceFilingCode:true"</f>
        <v>!S.01.02.07.01 Rows {3}@ForceFilingCode:true</v>
      </c>
      <c r="M12" s="13" t="str">
        <f>Show!$B$23&amp;"S.01.02.07.01 Columns {"&amp;COLUMN($D$1)&amp;"}"</f>
        <v>!S.01.02.07.01 Columns {4}</v>
      </c>
    </row>
    <row r="13" spans="2:15">
      <c r="B13" s="43" t="s">
        <v>2880</v>
      </c>
      <c r="C13" s="44" t="s">
        <v>2878</v>
      </c>
      <c r="D13" s="46"/>
    </row>
    <row r="14" spans="2:15">
      <c r="B14" s="47" t="s">
        <v>3212</v>
      </c>
      <c r="C14" s="41" t="s">
        <v>2883</v>
      </c>
      <c r="D14" s="51"/>
    </row>
    <row r="15" spans="2:15">
      <c r="B15" s="47" t="s">
        <v>3213</v>
      </c>
      <c r="C15" s="41" t="s">
        <v>2885</v>
      </c>
      <c r="D15" s="51"/>
    </row>
    <row r="16" spans="2:15">
      <c r="B16" s="47" t="s">
        <v>3214</v>
      </c>
      <c r="C16" s="41" t="s">
        <v>2887</v>
      </c>
      <c r="D16" s="51"/>
    </row>
    <row r="17" spans="2:4">
      <c r="B17" s="47" t="s">
        <v>3215</v>
      </c>
      <c r="C17" s="41" t="s">
        <v>2889</v>
      </c>
      <c r="D17" s="51"/>
    </row>
    <row r="18" spans="2:4">
      <c r="B18" s="47" t="s">
        <v>3216</v>
      </c>
      <c r="C18" s="41" t="s">
        <v>3078</v>
      </c>
      <c r="D18" s="51"/>
    </row>
    <row r="19" spans="2:4">
      <c r="B19" s="47" t="s">
        <v>3180</v>
      </c>
      <c r="C19" s="41" t="s">
        <v>2893</v>
      </c>
      <c r="D19" s="51"/>
    </row>
    <row r="20" spans="2:4">
      <c r="B20" s="47" t="s">
        <v>3181</v>
      </c>
      <c r="C20" s="41" t="s">
        <v>2895</v>
      </c>
      <c r="D20" s="54"/>
    </row>
    <row r="21" spans="2:4">
      <c r="B21" s="47" t="s">
        <v>3182</v>
      </c>
      <c r="C21" s="41" t="s">
        <v>3183</v>
      </c>
      <c r="D21" s="54"/>
    </row>
    <row r="22" spans="2:4">
      <c r="B22" s="47" t="s">
        <v>3184</v>
      </c>
      <c r="C22" s="41" t="s">
        <v>2897</v>
      </c>
      <c r="D22" s="54"/>
    </row>
    <row r="23" spans="2:4">
      <c r="B23" s="47" t="s">
        <v>3185</v>
      </c>
      <c r="C23" s="41" t="s">
        <v>2899</v>
      </c>
      <c r="D23" s="51"/>
    </row>
    <row r="24" spans="2:4">
      <c r="B24" s="47" t="s">
        <v>3186</v>
      </c>
      <c r="C24" s="41" t="s">
        <v>2901</v>
      </c>
      <c r="D24" s="51"/>
    </row>
    <row r="25" spans="2:4">
      <c r="B25" s="47" t="s">
        <v>3187</v>
      </c>
      <c r="C25" s="41" t="s">
        <v>2903</v>
      </c>
      <c r="D25" s="51"/>
    </row>
    <row r="26" spans="2:4">
      <c r="B26" s="47" t="s">
        <v>3188</v>
      </c>
      <c r="C26" s="41" t="s">
        <v>2905</v>
      </c>
      <c r="D26" s="51"/>
    </row>
    <row r="27" spans="2:4">
      <c r="B27" s="47" t="s">
        <v>1172</v>
      </c>
      <c r="C27" s="41" t="s">
        <v>2907</v>
      </c>
      <c r="D27" s="51"/>
    </row>
    <row r="28" spans="2:4">
      <c r="B28" s="47" t="s">
        <v>3189</v>
      </c>
      <c r="C28" s="41" t="s">
        <v>2909</v>
      </c>
      <c r="D28" s="51"/>
    </row>
    <row r="29" spans="2:4">
      <c r="B29" s="47" t="s">
        <v>3190</v>
      </c>
      <c r="C29" s="41" t="s">
        <v>2913</v>
      </c>
      <c r="D29" s="51"/>
    </row>
    <row r="30" spans="2:4">
      <c r="B30" s="47" t="s">
        <v>3191</v>
      </c>
      <c r="C30" s="41" t="s">
        <v>2915</v>
      </c>
      <c r="D30" s="51"/>
    </row>
    <row r="31" spans="2:4">
      <c r="B31" s="47" t="s">
        <v>3192</v>
      </c>
      <c r="C31" s="41" t="s">
        <v>2917</v>
      </c>
      <c r="D31" s="51"/>
    </row>
    <row r="32" spans="2:4">
      <c r="B32" s="47" t="s">
        <v>3193</v>
      </c>
      <c r="C32" s="41" t="s">
        <v>2919</v>
      </c>
      <c r="D32" s="51"/>
    </row>
    <row r="33" spans="2:13">
      <c r="B33" s="47" t="s">
        <v>3194</v>
      </c>
      <c r="C33" s="41" t="s">
        <v>2921</v>
      </c>
      <c r="D33" s="51"/>
    </row>
    <row r="34" spans="2:13">
      <c r="B34" s="47" t="s">
        <v>3217</v>
      </c>
      <c r="C34" s="41" t="s">
        <v>2923</v>
      </c>
      <c r="D34" s="51"/>
    </row>
    <row r="35" spans="2:13">
      <c r="B35" s="47" t="s">
        <v>3195</v>
      </c>
      <c r="C35" s="41" t="s">
        <v>2929</v>
      </c>
      <c r="D35" s="51"/>
    </row>
    <row r="36" spans="2:13">
      <c r="B36" s="47" t="s">
        <v>3199</v>
      </c>
      <c r="C36" s="41" t="s">
        <v>3200</v>
      </c>
      <c r="D36" s="51"/>
    </row>
    <row r="37" spans="2:13">
      <c r="B37" s="47" t="s">
        <v>3201</v>
      </c>
      <c r="C37" s="41" t="s">
        <v>3202</v>
      </c>
      <c r="D37" s="51"/>
    </row>
    <row r="38" spans="2:13">
      <c r="B38" s="47" t="s">
        <v>3203</v>
      </c>
      <c r="C38" s="41" t="s">
        <v>3204</v>
      </c>
      <c r="D38" s="51"/>
    </row>
    <row r="39" spans="2:13">
      <c r="L39" s="13" t="str">
        <f>Show!$B$23&amp;Show!$B$23&amp;"S.01.02.07.01 Rows {"&amp;COLUMN($C$1)&amp;"}"</f>
        <v>!!S.01.02.07.01 Rows {3}</v>
      </c>
      <c r="M39" s="13" t="str">
        <f>Show!$B$23&amp;Show!$B$23&amp;"S.01.02.07.01 Columns {"&amp;COLUMN($D$1)&amp;"}"</f>
        <v>!!S.01.02.07.01 Columns {4}</v>
      </c>
    </row>
    <row r="41" spans="2:13" ht="18.75">
      <c r="B41" s="88" t="s">
        <v>3218</v>
      </c>
      <c r="C41" s="87"/>
      <c r="D41" s="87"/>
      <c r="E41" s="87"/>
      <c r="F41" s="87"/>
      <c r="G41" s="87"/>
      <c r="H41" s="87"/>
      <c r="I41" s="87"/>
      <c r="J41" s="87"/>
      <c r="K41" s="87"/>
      <c r="L41" s="87"/>
    </row>
    <row r="45" spans="2:13">
      <c r="D45" s="89" t="s">
        <v>2877</v>
      </c>
    </row>
    <row r="46" spans="2:13">
      <c r="D46" s="90"/>
    </row>
    <row r="47" spans="2:13">
      <c r="D47" s="91"/>
    </row>
    <row r="48" spans="2:13">
      <c r="D48" s="45" t="s">
        <v>3219</v>
      </c>
      <c r="L48" s="13" t="str">
        <f>Show!$B$23&amp;"S.01.02.07.02 Rows {"&amp;COLUMN($C$1)&amp;"}"&amp;"@ForceFilingCode:true"</f>
        <v>!S.01.02.07.02 Rows {3}@ForceFilingCode:true</v>
      </c>
      <c r="M48" s="13" t="str">
        <f>Show!$B$23&amp;"S.01.02.07.02 Columns {"&amp;COLUMN($D$1)&amp;"}"</f>
        <v>!S.01.02.07.02 Columns {4}</v>
      </c>
    </row>
    <row r="49" spans="2:13">
      <c r="B49" s="43" t="s">
        <v>2880</v>
      </c>
      <c r="C49" s="44" t="s">
        <v>2878</v>
      </c>
      <c r="D49" s="46"/>
    </row>
    <row r="50" spans="2:13">
      <c r="B50" s="47" t="s">
        <v>3220</v>
      </c>
      <c r="C50" s="41" t="s">
        <v>2925</v>
      </c>
      <c r="D50" s="51"/>
    </row>
    <row r="51" spans="2:13">
      <c r="L51" s="13" t="str">
        <f>Show!$B$23&amp;Show!$B$23&amp;"S.01.02.07.02 Rows {"&amp;COLUMN($C$1)&amp;"}"</f>
        <v>!!S.01.02.07.02 Rows {3}</v>
      </c>
      <c r="M51" s="13" t="str">
        <f>Show!$B$23&amp;Show!$B$23&amp;"S.01.02.07.02 Columns {"&amp;COLUMN($D$1)&amp;"}"</f>
        <v>!!S.01.02.07.02 Columns {4}</v>
      </c>
    </row>
    <row r="53" spans="2:13" ht="18.75">
      <c r="B53" s="88" t="s">
        <v>3221</v>
      </c>
      <c r="C53" s="87"/>
      <c r="D53" s="87"/>
      <c r="E53" s="87"/>
      <c r="F53" s="87"/>
      <c r="G53" s="87"/>
      <c r="H53" s="87"/>
      <c r="I53" s="87"/>
      <c r="J53" s="87"/>
      <c r="K53" s="87"/>
      <c r="L53" s="87"/>
    </row>
    <row r="57" spans="2:13">
      <c r="B57" s="89" t="s">
        <v>3222</v>
      </c>
      <c r="C57" s="89" t="s">
        <v>2877</v>
      </c>
    </row>
    <row r="58" spans="2:13">
      <c r="B58" s="90"/>
      <c r="C58" s="91"/>
    </row>
    <row r="59" spans="2:13">
      <c r="B59" s="91"/>
      <c r="C59" s="55" t="s">
        <v>3224</v>
      </c>
    </row>
    <row r="60" spans="2:13">
      <c r="B60" s="42" t="s">
        <v>3223</v>
      </c>
      <c r="C60" s="42" t="s">
        <v>3225</v>
      </c>
      <c r="L60" s="13" t="str">
        <f>Show!$B$23&amp;"S.01.02.07.03 Rows {"&amp;COLUMN($B$1)&amp;"}"&amp;"@ForceFilingCode:true"</f>
        <v>!S.01.02.07.03 Rows {2}@ForceFilingCode:true</v>
      </c>
      <c r="M60" s="13" t="str">
        <f>Show!$B$23&amp;"S.01.02.07.03 Columns {"&amp;COLUMN($B$1)&amp;"}"</f>
        <v>!S.01.02.07.03 Columns {2}</v>
      </c>
    </row>
    <row r="61" spans="2:13">
      <c r="B61" s="51"/>
      <c r="C61" s="51"/>
    </row>
    <row r="63" spans="2:13">
      <c r="L63" s="13" t="str">
        <f>Show!$B$23&amp;Show!$B$23&amp;"S.01.02.07.03 Rows {"&amp;COLUMN($B$1)&amp;"}"</f>
        <v>!!S.01.02.07.03 Rows {2}</v>
      </c>
      <c r="M63" s="13" t="str">
        <f>Show!$B$23&amp;Show!$B$23&amp;"S.01.02.07.03 Columns {"&amp;COLUMN($C$1)&amp;"}"</f>
        <v>!!S.01.02.07.03 Columns {3}</v>
      </c>
    </row>
  </sheetData>
  <sheetProtection sheet="1" objects="1" scenarios="1"/>
  <mergeCells count="8">
    <mergeCell ref="B57:B59"/>
    <mergeCell ref="C57:C58"/>
    <mergeCell ref="B2:O2"/>
    <mergeCell ref="B5:L5"/>
    <mergeCell ref="D9:D11"/>
    <mergeCell ref="B41:L41"/>
    <mergeCell ref="D45:D47"/>
    <mergeCell ref="B53:L53"/>
  </mergeCells>
  <dataValidations count="18">
    <dataValidation type="list" errorStyle="warning" allowBlank="1" showInputMessage="1" showErrorMessage="1" sqref="D15 D17" xr:uid="{6EAEE6E5-4560-4600-98C3-8F0DB846F45C}">
      <formula1>hier_GA_1</formula1>
    </dataValidation>
    <dataValidation type="list" errorStyle="warning" allowBlank="1" showInputMessage="1" showErrorMessage="1" sqref="D19" xr:uid="{FF402239-101A-4D03-9FF6-24D9338E0B19}">
      <formula1>hier_LA_1</formula1>
    </dataValidation>
    <dataValidation type="date" operator="greaterThan" allowBlank="1" showInputMessage="1" showErrorMessage="1" errorTitle="Date value" error="This cell can only contain dates" sqref="D20:D22" xr:uid="{2BA16E5C-1267-4E30-991B-DD2C19FA8F0A}">
      <formula1>1</formula1>
    </dataValidation>
    <dataValidation type="list" errorStyle="warning" allowBlank="1" showInputMessage="1" showErrorMessage="1" sqref="D23" xr:uid="{707F2C5C-3AF2-49FD-8BB9-EAFD08AF8562}">
      <formula1>hier_CS_12</formula1>
    </dataValidation>
    <dataValidation type="list" errorStyle="warning" allowBlank="1" showInputMessage="1" showErrorMessage="1" sqref="D24" xr:uid="{75C24AFA-CA3A-4F8F-8319-45D983B99A2B}">
      <formula1>hier_CU_5</formula1>
    </dataValidation>
    <dataValidation type="list" errorStyle="warning" allowBlank="1" showInputMessage="1" showErrorMessage="1" sqref="D25" xr:uid="{4D6FC541-CB56-4A43-B9F2-BD5E48ECFC84}">
      <formula1>hier_AM_11</formula1>
    </dataValidation>
    <dataValidation type="list" errorStyle="warning" allowBlank="1" showInputMessage="1" showErrorMessage="1" sqref="D26" xr:uid="{B32E607A-72E8-45C8-94C4-937E7543FD65}">
      <formula1>hier_AP_3</formula1>
    </dataValidation>
    <dataValidation type="list" errorStyle="warning" allowBlank="1" showInputMessage="1" showErrorMessage="1" sqref="D27" xr:uid="{B5FEED80-8370-406F-99DF-47152A1111D5}">
      <formula1>hier_AP_4</formula1>
    </dataValidation>
    <dataValidation type="list" errorStyle="warning" allowBlank="1" showInputMessage="1" showErrorMessage="1" sqref="D28" xr:uid="{DCDD7C03-FAEF-4FF1-85AC-46C8434BFCCB}">
      <formula1>hier_PU_23</formula1>
    </dataValidation>
    <dataValidation type="list" errorStyle="warning" allowBlank="1" showInputMessage="1" showErrorMessage="1" sqref="D29" xr:uid="{40C18135-C8A4-4F54-99B6-4EB3AB9B8681}">
      <formula1>hier_PU_15</formula1>
    </dataValidation>
    <dataValidation type="list" errorStyle="warning" allowBlank="1" showInputMessage="1" showErrorMessage="1" sqref="D30" xr:uid="{EAFAA398-0B2E-4703-8BA7-500653AE65E4}">
      <formula1>hier_AP_5</formula1>
    </dataValidation>
    <dataValidation type="list" errorStyle="warning" allowBlank="1" showInputMessage="1" showErrorMessage="1" sqref="D31" xr:uid="{22F00FC8-2B80-40CF-9E98-70F65E2677AD}">
      <formula1>hier_AP_6</formula1>
    </dataValidation>
    <dataValidation type="list" errorStyle="warning" allowBlank="1" showInputMessage="1" showErrorMessage="1" sqref="D32" xr:uid="{2F1187C1-1EFA-4AE3-A5B9-C183426250F8}">
      <formula1>hier_AP_7</formula1>
    </dataValidation>
    <dataValidation type="list" errorStyle="warning" allowBlank="1" showInputMessage="1" showErrorMessage="1" sqref="D33" xr:uid="{A1767A00-7F3B-42DE-A208-58E062123E6F}">
      <formula1>hier_CS_13</formula1>
    </dataValidation>
    <dataValidation type="list" errorStyle="warning" allowBlank="1" showInputMessage="1" showErrorMessage="1" sqref="D34" xr:uid="{2C2B7D36-0E5E-4C0B-AF1D-26122874F762}">
      <formula1>hier_SE_22</formula1>
    </dataValidation>
    <dataValidation type="list" errorStyle="warning" allowBlank="1" showInputMessage="1" showErrorMessage="1" sqref="D35" xr:uid="{6F8AF8F2-D0AF-4C1F-8CD2-1B4C357AAB49}">
      <formula1>hier_CN_127</formula1>
    </dataValidation>
    <dataValidation type="list" errorStyle="warning" allowBlank="1" showInputMessage="1" showErrorMessage="1" sqref="D50" xr:uid="{C710FD15-24B6-45CD-8183-09BE25FEB88A}">
      <formula1>hier_AO_2</formula1>
    </dataValidation>
    <dataValidation type="list" errorStyle="warning" allowBlank="1" showInputMessage="1" showErrorMessage="1" sqref="B61" xr:uid="{A0B9E639-4459-4B05-80DC-DB268A7A5C31}">
      <formula1>hier_GA_32</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54D3D-8948-40D6-89F8-A0F0CE8A4E19}">
  <sheetPr codeName="Blad28"/>
  <dimension ref="B2:P27"/>
  <sheetViews>
    <sheetView showGridLines="0" workbookViewId="0"/>
  </sheetViews>
  <sheetFormatPr defaultRowHeight="15"/>
  <cols>
    <col min="2" max="2" width="36.5703125" bestFit="1" customWidth="1"/>
    <col min="3" max="3" width="15.7109375" customWidth="1"/>
    <col min="4" max="7" width="40.7109375" customWidth="1"/>
  </cols>
  <sheetData>
    <row r="2" spans="2:16" ht="23.25">
      <c r="B2" s="86" t="s">
        <v>541</v>
      </c>
      <c r="C2" s="87"/>
      <c r="D2" s="87"/>
      <c r="E2" s="87"/>
      <c r="F2" s="87"/>
      <c r="G2" s="87"/>
      <c r="H2" s="87"/>
      <c r="I2" s="87"/>
      <c r="J2" s="87"/>
      <c r="K2" s="87"/>
      <c r="L2" s="87"/>
      <c r="M2" s="87"/>
      <c r="N2" s="87"/>
      <c r="O2" s="87"/>
    </row>
    <row r="5" spans="2:16" ht="18.75">
      <c r="B5" s="88" t="s">
        <v>3226</v>
      </c>
      <c r="C5" s="87"/>
      <c r="D5" s="87"/>
      <c r="E5" s="87"/>
      <c r="F5" s="87"/>
      <c r="G5" s="87"/>
      <c r="H5" s="87"/>
      <c r="I5" s="87"/>
      <c r="J5" s="87"/>
      <c r="K5" s="87"/>
      <c r="L5" s="87"/>
    </row>
    <row r="9" spans="2:16">
      <c r="B9" s="89" t="s">
        <v>3227</v>
      </c>
      <c r="C9" s="92" t="s">
        <v>2877</v>
      </c>
      <c r="D9" s="93"/>
      <c r="E9" s="93"/>
      <c r="F9" s="93"/>
      <c r="G9" s="94"/>
    </row>
    <row r="10" spans="2:16">
      <c r="B10" s="90"/>
      <c r="C10" s="95"/>
      <c r="D10" s="96"/>
      <c r="E10" s="96"/>
      <c r="F10" s="96"/>
      <c r="G10" s="97"/>
    </row>
    <row r="11" spans="2:16" ht="75">
      <c r="B11" s="91"/>
      <c r="C11" s="55" t="s">
        <v>3228</v>
      </c>
      <c r="D11" s="55" t="s">
        <v>3230</v>
      </c>
      <c r="E11" s="55" t="s">
        <v>3232</v>
      </c>
      <c r="F11" s="55" t="s">
        <v>1208</v>
      </c>
      <c r="G11" s="55" t="s">
        <v>3235</v>
      </c>
    </row>
    <row r="12" spans="2:16">
      <c r="B12" s="42" t="s">
        <v>3223</v>
      </c>
      <c r="C12" s="42" t="s">
        <v>3229</v>
      </c>
      <c r="D12" s="42" t="s">
        <v>3231</v>
      </c>
      <c r="E12" s="42" t="s">
        <v>3233</v>
      </c>
      <c r="F12" s="42" t="s">
        <v>3234</v>
      </c>
      <c r="G12" s="42" t="s">
        <v>3236</v>
      </c>
      <c r="O12" s="13" t="str">
        <f>Show!$B$24&amp;"S.01.03.01.01 Rows {"&amp;COLUMN($B$1)&amp;"}"&amp;"@ForceFilingCode:true"</f>
        <v>!S.01.03.01.01 Rows {2}@ForceFilingCode:true</v>
      </c>
      <c r="P12" s="13" t="str">
        <f>Show!$B$24&amp;"S.01.03.01.01 Columns {"&amp;COLUMN($B$1)&amp;"}"</f>
        <v>!S.01.03.01.01 Columns {2}</v>
      </c>
    </row>
    <row r="13" spans="2:16">
      <c r="B13" s="50"/>
      <c r="C13" s="51"/>
      <c r="D13" s="51"/>
      <c r="E13" s="51"/>
      <c r="F13" s="51"/>
      <c r="G13" s="51"/>
    </row>
    <row r="15" spans="2:16">
      <c r="O15" s="13" t="str">
        <f>Show!$B$24&amp;Show!$B$24&amp;"S.01.03.01.01 Rows {"&amp;COLUMN($B$1)&amp;"}"</f>
        <v>!!S.01.03.01.01 Rows {2}</v>
      </c>
      <c r="P15" s="13" t="str">
        <f>Show!$B$24&amp;Show!$B$24&amp;"S.01.03.01.01 Columns {"&amp;COLUMN($G$1)&amp;"}"</f>
        <v>!!S.01.03.01.01 Columns {7}</v>
      </c>
    </row>
    <row r="17" spans="2:16" ht="18.75">
      <c r="B17" s="88" t="s">
        <v>3237</v>
      </c>
      <c r="C17" s="87"/>
      <c r="D17" s="87"/>
      <c r="E17" s="87"/>
      <c r="F17" s="87"/>
      <c r="G17" s="87"/>
      <c r="H17" s="87"/>
      <c r="I17" s="87"/>
      <c r="J17" s="87"/>
      <c r="K17" s="87"/>
      <c r="L17" s="87"/>
    </row>
    <row r="21" spans="2:16">
      <c r="B21" s="89" t="s">
        <v>3238</v>
      </c>
      <c r="C21" s="89" t="s">
        <v>3240</v>
      </c>
      <c r="D21" s="89" t="s">
        <v>2877</v>
      </c>
    </row>
    <row r="22" spans="2:16">
      <c r="B22" s="90"/>
      <c r="C22" s="90"/>
      <c r="D22" s="91"/>
    </row>
    <row r="23" spans="2:16">
      <c r="B23" s="91"/>
      <c r="C23" s="91"/>
      <c r="D23" s="55" t="s">
        <v>3242</v>
      </c>
    </row>
    <row r="24" spans="2:16">
      <c r="B24" s="42" t="s">
        <v>3239</v>
      </c>
      <c r="C24" s="42" t="s">
        <v>3241</v>
      </c>
      <c r="D24" s="42" t="s">
        <v>3243</v>
      </c>
      <c r="O24" s="13" t="str">
        <f>Show!$B$24&amp;"S.01.03.01.02 Rows {"&amp;COLUMN($B$1)&amp;"}"&amp;"@ForceFilingCode:true"</f>
        <v>!S.01.03.01.02 Rows {2}@ForceFilingCode:true</v>
      </c>
      <c r="P24" s="13" t="str">
        <f>Show!$B$24&amp;"S.01.03.01.02 Columns {"&amp;COLUMN($B$1)&amp;"}"</f>
        <v>!S.01.03.01.02 Columns {2}</v>
      </c>
    </row>
    <row r="25" spans="2:16">
      <c r="B25" s="50"/>
      <c r="C25" s="50"/>
      <c r="D25" s="51"/>
    </row>
    <row r="27" spans="2:16">
      <c r="O27" s="13" t="str">
        <f>Show!$B$24&amp;Show!$B$24&amp;"S.01.03.01.02 Rows {"&amp;COLUMN($B$1)&amp;"}"</f>
        <v>!!S.01.03.01.02 Rows {2}</v>
      </c>
      <c r="P27" s="13" t="str">
        <f>Show!$B$24&amp;Show!$B$24&amp;"S.01.03.01.02 Columns {"&amp;COLUMN($D$1)&amp;"}"</f>
        <v>!!S.01.03.01.02 Columns {4}</v>
      </c>
    </row>
  </sheetData>
  <sheetProtection sheet="1" objects="1" scenarios="1"/>
  <mergeCells count="8">
    <mergeCell ref="B21:B23"/>
    <mergeCell ref="C21:C23"/>
    <mergeCell ref="D21:D22"/>
    <mergeCell ref="B2:O2"/>
    <mergeCell ref="B5:L5"/>
    <mergeCell ref="B9:B11"/>
    <mergeCell ref="C9:G10"/>
    <mergeCell ref="B17:L17"/>
  </mergeCells>
  <dataValidations count="5">
    <dataValidation type="list" errorStyle="warning" allowBlank="1" showInputMessage="1" showErrorMessage="1" sqref="D13" xr:uid="{67F69F27-E690-4F7E-9BEE-7E504212C7F8}">
      <formula1>hier_PU_37</formula1>
    </dataValidation>
    <dataValidation type="list" errorStyle="warning" allowBlank="1" showInputMessage="1" showErrorMessage="1" sqref="E13" xr:uid="{93F8D406-E3B9-454A-8B8B-8513F167FC34}">
      <formula1>hier_PU_17</formula1>
    </dataValidation>
    <dataValidation type="list" errorStyle="warning" allowBlank="1" showInputMessage="1" showErrorMessage="1" sqref="F13" xr:uid="{1121B6F2-1622-4A30-B745-14B7E61C6337}">
      <formula1>hier_AP_11</formula1>
    </dataValidation>
    <dataValidation type="list" errorStyle="warning" allowBlank="1" showInputMessage="1" showErrorMessage="1" sqref="G13" xr:uid="{5A91EA84-8F7B-4C24-988F-DEDF2180A5C3}">
      <formula1>hier_AP_9</formula1>
    </dataValidation>
    <dataValidation type="list" errorStyle="warning" allowBlank="1" showInputMessage="1" showErrorMessage="1" sqref="D25" xr:uid="{2862A776-D5F7-4F6D-94E0-154E5DB6787C}">
      <formula1>hier_PU_34</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29655-05B5-43E9-888E-4539D7CC413F}">
  <sheetPr codeName="Blad29"/>
  <dimension ref="B2:S27"/>
  <sheetViews>
    <sheetView showGridLines="0" workbookViewId="0"/>
  </sheetViews>
  <sheetFormatPr defaultRowHeight="15"/>
  <cols>
    <col min="2" max="2" width="51.140625" bestFit="1" customWidth="1"/>
    <col min="3" max="3" width="15.7109375" customWidth="1"/>
    <col min="4" max="9" width="40.7109375" customWidth="1"/>
  </cols>
  <sheetData>
    <row r="2" spans="2:19" ht="23.25">
      <c r="B2" s="86" t="s">
        <v>541</v>
      </c>
      <c r="C2" s="87"/>
      <c r="D2" s="87"/>
      <c r="E2" s="87"/>
      <c r="F2" s="87"/>
      <c r="G2" s="87"/>
      <c r="H2" s="87"/>
      <c r="I2" s="87"/>
      <c r="J2" s="87"/>
      <c r="K2" s="87"/>
      <c r="L2" s="87"/>
      <c r="M2" s="87"/>
      <c r="N2" s="87"/>
      <c r="O2" s="87"/>
    </row>
    <row r="5" spans="2:19" ht="18.75">
      <c r="B5" s="88" t="s">
        <v>3244</v>
      </c>
      <c r="C5" s="87"/>
      <c r="D5" s="87"/>
      <c r="E5" s="87"/>
      <c r="F5" s="87"/>
      <c r="G5" s="87"/>
      <c r="H5" s="87"/>
      <c r="I5" s="87"/>
      <c r="J5" s="87"/>
      <c r="K5" s="87"/>
      <c r="L5" s="87"/>
    </row>
    <row r="9" spans="2:19">
      <c r="B9" s="89" t="s">
        <v>3245</v>
      </c>
      <c r="C9" s="89" t="s">
        <v>3227</v>
      </c>
      <c r="D9" s="92" t="s">
        <v>2877</v>
      </c>
      <c r="E9" s="93"/>
      <c r="F9" s="93"/>
      <c r="G9" s="93"/>
      <c r="H9" s="93"/>
      <c r="I9" s="94"/>
    </row>
    <row r="10" spans="2:19">
      <c r="B10" s="90"/>
      <c r="C10" s="90"/>
      <c r="D10" s="95"/>
      <c r="E10" s="96"/>
      <c r="F10" s="96"/>
      <c r="G10" s="96"/>
      <c r="H10" s="96"/>
      <c r="I10" s="97"/>
    </row>
    <row r="11" spans="2:19" ht="30">
      <c r="B11" s="91"/>
      <c r="C11" s="91"/>
      <c r="D11" s="55" t="s">
        <v>3246</v>
      </c>
      <c r="E11" s="55" t="s">
        <v>3228</v>
      </c>
      <c r="F11" s="55" t="s">
        <v>3230</v>
      </c>
      <c r="G11" s="55" t="s">
        <v>3232</v>
      </c>
      <c r="H11" s="55" t="s">
        <v>1208</v>
      </c>
      <c r="I11" s="55" t="s">
        <v>3235</v>
      </c>
    </row>
    <row r="12" spans="2:19">
      <c r="B12" s="42" t="s">
        <v>3219</v>
      </c>
      <c r="C12" s="42" t="s">
        <v>3223</v>
      </c>
      <c r="D12" s="42" t="s">
        <v>2879</v>
      </c>
      <c r="E12" s="42" t="s">
        <v>3229</v>
      </c>
      <c r="F12" s="42" t="s">
        <v>3231</v>
      </c>
      <c r="G12" s="42" t="s">
        <v>3233</v>
      </c>
      <c r="H12" s="42" t="s">
        <v>3234</v>
      </c>
      <c r="I12" s="42" t="s">
        <v>3236</v>
      </c>
      <c r="R12" s="13" t="str">
        <f>Show!$B$25&amp;"S.01.03.04.01 Rows {"&amp;COLUMN($B$1)&amp;"}"&amp;"@ForceFilingCode:true"</f>
        <v>!S.01.03.04.01 Rows {2}@ForceFilingCode:true</v>
      </c>
      <c r="S12" s="13" t="str">
        <f>Show!$B$25&amp;"S.01.03.04.01 Columns {"&amp;COLUMN($B$1)&amp;"}"</f>
        <v>!S.01.03.04.01 Columns {2}</v>
      </c>
    </row>
    <row r="13" spans="2:19">
      <c r="B13" s="50"/>
      <c r="C13" s="50"/>
      <c r="D13" s="51"/>
      <c r="E13" s="51"/>
      <c r="F13" s="51"/>
      <c r="G13" s="51"/>
      <c r="H13" s="51"/>
      <c r="I13" s="51"/>
    </row>
    <row r="15" spans="2:19">
      <c r="R15" s="13" t="str">
        <f>Show!$B$25&amp;Show!$B$25&amp;"S.01.03.04.01 Rows {"&amp;COLUMN($B$1)&amp;"}"</f>
        <v>!!S.01.03.04.01 Rows {2}</v>
      </c>
      <c r="S15" s="13" t="str">
        <f>Show!$B$25&amp;Show!$B$25&amp;"S.01.03.04.01 Columns {"&amp;COLUMN($I$1)&amp;"}"</f>
        <v>!!S.01.03.04.01 Columns {9}</v>
      </c>
    </row>
    <row r="17" spans="2:19" ht="18.75">
      <c r="B17" s="88" t="s">
        <v>3247</v>
      </c>
      <c r="C17" s="87"/>
      <c r="D17" s="87"/>
      <c r="E17" s="87"/>
      <c r="F17" s="87"/>
      <c r="G17" s="87"/>
      <c r="H17" s="87"/>
      <c r="I17" s="87"/>
      <c r="J17" s="87"/>
      <c r="K17" s="87"/>
      <c r="L17" s="87"/>
    </row>
    <row r="21" spans="2:19">
      <c r="B21" s="89" t="s">
        <v>3248</v>
      </c>
      <c r="C21" s="89" t="s">
        <v>3240</v>
      </c>
      <c r="D21" s="89" t="s">
        <v>2877</v>
      </c>
    </row>
    <row r="22" spans="2:19">
      <c r="B22" s="90"/>
      <c r="C22" s="90"/>
      <c r="D22" s="91"/>
    </row>
    <row r="23" spans="2:19">
      <c r="B23" s="91"/>
      <c r="C23" s="91"/>
      <c r="D23" s="55" t="s">
        <v>3242</v>
      </c>
    </row>
    <row r="24" spans="2:19">
      <c r="B24" s="42" t="s">
        <v>3239</v>
      </c>
      <c r="C24" s="42" t="s">
        <v>3241</v>
      </c>
      <c r="D24" s="42" t="s">
        <v>3243</v>
      </c>
      <c r="R24" s="13" t="str">
        <f>Show!$B$25&amp;"S.01.03.04.02 Rows {"&amp;COLUMN($B$1)&amp;"}"&amp;"@ForceFilingCode:true"</f>
        <v>!S.01.03.04.02 Rows {2}@ForceFilingCode:true</v>
      </c>
      <c r="S24" s="13" t="str">
        <f>Show!$B$25&amp;"S.01.03.04.02 Columns {"&amp;COLUMN($B$1)&amp;"}"</f>
        <v>!S.01.03.04.02 Columns {2}</v>
      </c>
    </row>
    <row r="25" spans="2:19">
      <c r="B25" s="50"/>
      <c r="C25" s="50"/>
      <c r="D25" s="51"/>
    </row>
    <row r="27" spans="2:19">
      <c r="R27" s="13" t="str">
        <f>Show!$B$25&amp;Show!$B$25&amp;"S.01.03.04.02 Rows {"&amp;COLUMN($B$1)&amp;"}"</f>
        <v>!!S.01.03.04.02 Rows {2}</v>
      </c>
      <c r="S27" s="13" t="str">
        <f>Show!$B$25&amp;Show!$B$25&amp;"S.01.03.04.02 Columns {"&amp;COLUMN($D$1)&amp;"}"</f>
        <v>!!S.01.03.04.02 Columns {4}</v>
      </c>
    </row>
  </sheetData>
  <sheetProtection sheet="1" objects="1" scenarios="1"/>
  <mergeCells count="9">
    <mergeCell ref="B21:B23"/>
    <mergeCell ref="C21:C23"/>
    <mergeCell ref="D21:D22"/>
    <mergeCell ref="B2:O2"/>
    <mergeCell ref="B5:L5"/>
    <mergeCell ref="B9:B11"/>
    <mergeCell ref="C9:C11"/>
    <mergeCell ref="D9:I10"/>
    <mergeCell ref="B17:L17"/>
  </mergeCells>
  <dataValidations count="5">
    <dataValidation type="list" errorStyle="warning" allowBlank="1" showInputMessage="1" showErrorMessage="1" sqref="F13" xr:uid="{C5E564B6-A1FA-4E02-8666-BEFC70EA5A0D}">
      <formula1>hier_PU_37</formula1>
    </dataValidation>
    <dataValidation type="list" errorStyle="warning" allowBlank="1" showInputMessage="1" showErrorMessage="1" sqref="G13" xr:uid="{62B1D0C7-E7D1-4546-8605-2340B3CC5572}">
      <formula1>hier_PU_17</formula1>
    </dataValidation>
    <dataValidation type="list" errorStyle="warning" allowBlank="1" showInputMessage="1" showErrorMessage="1" sqref="H13" xr:uid="{FE1A7A24-9C90-4FF1-84E4-EBBC53EC16CB}">
      <formula1>hier_AP_11</formula1>
    </dataValidation>
    <dataValidation type="list" errorStyle="warning" allowBlank="1" showInputMessage="1" showErrorMessage="1" sqref="I13" xr:uid="{0407E331-FCD4-4A71-BCD0-FA620781232E}">
      <formula1>hier_AP_9</formula1>
    </dataValidation>
    <dataValidation type="list" errorStyle="warning" allowBlank="1" showInputMessage="1" showErrorMessage="1" sqref="D25" xr:uid="{C6DA88FA-7959-4C14-BCB4-6ADA79AE58DB}">
      <formula1>hier_PU_34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7FCAA-41E6-44CD-8AEE-34FCAEB70C74}">
  <sheetPr codeName="Blad4">
    <tabColor rgb="FF92D050"/>
  </sheetPr>
  <dimension ref="B3:O202"/>
  <sheetViews>
    <sheetView showGridLines="0" workbookViewId="0">
      <selection activeCell="D46" sqref="D46"/>
    </sheetView>
  </sheetViews>
  <sheetFormatPr defaultRowHeight="15"/>
  <cols>
    <col min="1" max="1" width="4.28515625" customWidth="1"/>
    <col min="2" max="2" width="18.5703125" style="33" customWidth="1"/>
    <col min="3" max="3" width="115.28515625" style="33" customWidth="1"/>
    <col min="4" max="4" width="18.42578125" style="33" customWidth="1"/>
    <col min="5" max="5" width="0" hidden="1" customWidth="1"/>
  </cols>
  <sheetData>
    <row r="3" spans="2:15" ht="23.25">
      <c r="B3" s="86" t="s">
        <v>466</v>
      </c>
      <c r="C3" s="87"/>
      <c r="D3" s="87"/>
      <c r="E3" s="87"/>
      <c r="F3" s="87"/>
      <c r="G3" s="87"/>
      <c r="H3" s="87"/>
      <c r="I3" s="87"/>
      <c r="J3" s="87"/>
      <c r="K3" s="87"/>
      <c r="L3" s="87"/>
      <c r="M3" s="87"/>
      <c r="N3" s="87"/>
      <c r="O3" s="87"/>
    </row>
    <row r="5" spans="2:15">
      <c r="B5" s="36" t="s">
        <v>467</v>
      </c>
      <c r="C5" s="36" t="s">
        <v>468</v>
      </c>
      <c r="D5" s="36" t="s">
        <v>469</v>
      </c>
    </row>
    <row r="6" spans="2:15" hidden="1">
      <c r="B6" s="37" t="s">
        <v>510</v>
      </c>
      <c r="C6" s="38" t="s">
        <v>512</v>
      </c>
      <c r="D6" s="39"/>
      <c r="E6" t="str">
        <f>IF($D$6="Reported","@ForceFilingCode:true",IF($D$6="Not Reported","@ForceFilingCode:false",""))</f>
        <v/>
      </c>
    </row>
    <row r="7" spans="2:15" hidden="1">
      <c r="B7" s="37" t="s">
        <v>513</v>
      </c>
      <c r="C7" s="38" t="s">
        <v>512</v>
      </c>
      <c r="D7" s="39"/>
      <c r="E7" t="str">
        <f>IF($D$7="Reported","@ForceFilingCode:true",IF($D$7="Not Reported","@ForceFilingCode:false",""))</f>
        <v/>
      </c>
    </row>
    <row r="8" spans="2:15" hidden="1">
      <c r="B8" s="37" t="s">
        <v>514</v>
      </c>
      <c r="C8" s="38" t="s">
        <v>512</v>
      </c>
      <c r="D8" s="39"/>
      <c r="E8" t="str">
        <f>IF($D$8="Reported","@ForceFilingCode:true",IF($D$8="Not Reported","@ForceFilingCode:false",""))</f>
        <v/>
      </c>
    </row>
    <row r="9" spans="2:15" hidden="1">
      <c r="B9" s="37" t="s">
        <v>515</v>
      </c>
      <c r="C9" s="38" t="s">
        <v>512</v>
      </c>
      <c r="D9" s="39"/>
      <c r="E9" t="str">
        <f>IF($D$9="Reported","@ForceFilingCode:true",IF($D$9="Not Reported","@ForceFilingCode:false",""))</f>
        <v/>
      </c>
    </row>
    <row r="10" spans="2:15" hidden="1">
      <c r="B10" s="37" t="s">
        <v>516</v>
      </c>
      <c r="C10" s="38" t="s">
        <v>512</v>
      </c>
      <c r="D10" s="39"/>
      <c r="E10" t="str">
        <f>IF($D$10="Reported","@ForceFilingCode:true",IF($D$10="Not Reported","@ForceFilingCode:false",""))</f>
        <v/>
      </c>
    </row>
    <row r="11" spans="2:15" hidden="1">
      <c r="B11" s="37" t="s">
        <v>517</v>
      </c>
      <c r="C11" s="38" t="s">
        <v>512</v>
      </c>
      <c r="D11" s="39"/>
      <c r="E11" t="str">
        <f>IF($D$11="Reported","@ForceFilingCode:true",IF($D$11="Not Reported","@ForceFilingCode:false",""))</f>
        <v/>
      </c>
    </row>
    <row r="12" spans="2:15" hidden="1">
      <c r="B12" s="37" t="s">
        <v>518</v>
      </c>
      <c r="C12" s="38" t="s">
        <v>512</v>
      </c>
      <c r="D12" s="39"/>
      <c r="E12" t="str">
        <f>IF($D$12="Reported","@ForceFilingCode:true",IF($D$12="Not Reported","@ForceFilingCode:false",""))</f>
        <v/>
      </c>
    </row>
    <row r="13" spans="2:15" hidden="1">
      <c r="B13" s="37" t="s">
        <v>519</v>
      </c>
      <c r="C13" s="38" t="s">
        <v>512</v>
      </c>
      <c r="D13" s="39"/>
      <c r="E13" t="str">
        <f>IF($D$13="Reported","@ForceFilingCode:true",IF($D$13="Not Reported","@ForceFilingCode:false",""))</f>
        <v/>
      </c>
    </row>
    <row r="14" spans="2:15" hidden="1">
      <c r="B14" s="37" t="s">
        <v>520</v>
      </c>
      <c r="C14" s="38" t="s">
        <v>512</v>
      </c>
      <c r="D14" s="39"/>
      <c r="E14" t="str">
        <f>IF($D$14="Reported","@ForceFilingCode:true",IF($D$14="Not Reported","@ForceFilingCode:false",""))</f>
        <v/>
      </c>
    </row>
    <row r="15" spans="2:15" hidden="1">
      <c r="B15" s="37" t="s">
        <v>521</v>
      </c>
      <c r="C15" s="38" t="s">
        <v>512</v>
      </c>
      <c r="D15" s="39"/>
      <c r="E15" t="str">
        <f>IF($D$15="Reported","@ForceFilingCode:true",IF($D$15="Not Reported","@ForceFilingCode:false",""))</f>
        <v/>
      </c>
    </row>
    <row r="16" spans="2:15" hidden="1">
      <c r="B16" s="37" t="s">
        <v>522</v>
      </c>
      <c r="C16" s="38" t="s">
        <v>512</v>
      </c>
      <c r="D16" s="39"/>
      <c r="E16" t="str">
        <f>IF($D$16="Reported","@ForceFilingCode:true",IF($D$16="Not Reported","@ForceFilingCode:false",""))</f>
        <v/>
      </c>
    </row>
    <row r="17" spans="2:5" hidden="1">
      <c r="B17" s="37" t="s">
        <v>523</v>
      </c>
      <c r="C17" s="38" t="s">
        <v>512</v>
      </c>
      <c r="D17" s="39"/>
      <c r="E17" t="str">
        <f>IF($D$17="Reported","@ForceFilingCode:true",IF($D$17="Not Reported","@ForceFilingCode:false",""))</f>
        <v/>
      </c>
    </row>
    <row r="18" spans="2:5" hidden="1">
      <c r="B18" s="37" t="s">
        <v>524</v>
      </c>
      <c r="C18" s="38" t="s">
        <v>512</v>
      </c>
      <c r="D18" s="39"/>
      <c r="E18" t="str">
        <f>IF($D$18="Reported","@ForceFilingCode:true",IF($D$18="Not Reported","@ForceFilingCode:false",""))</f>
        <v/>
      </c>
    </row>
    <row r="19" spans="2:5" hidden="1">
      <c r="B19" s="37" t="s">
        <v>525</v>
      </c>
      <c r="C19" s="38" t="s">
        <v>512</v>
      </c>
      <c r="D19" s="39"/>
      <c r="E19" t="str">
        <f>IF($D$19="Reported","@ForceFilingCode:true",IF($D$19="Not Reported","@ForceFilingCode:false",""))</f>
        <v/>
      </c>
    </row>
    <row r="20" spans="2:5" hidden="1">
      <c r="B20" s="37" t="s">
        <v>526</v>
      </c>
      <c r="C20" s="38" t="s">
        <v>512</v>
      </c>
      <c r="D20" s="39"/>
      <c r="E20" t="str">
        <f>IF($D$20="Reported","@ForceFilingCode:true",IF($D$20="Not Reported","@ForceFilingCode:false",""))</f>
        <v/>
      </c>
    </row>
    <row r="21" spans="2:5" hidden="1">
      <c r="B21" s="37" t="s">
        <v>527</v>
      </c>
      <c r="C21" s="38" t="s">
        <v>528</v>
      </c>
      <c r="D21" s="39"/>
      <c r="E21" t="str">
        <f>IF($D$21="Reported","@ForceFilingCode:true",IF($D$21="Not Reported","@ForceFilingCode:false",""))</f>
        <v/>
      </c>
    </row>
    <row r="22" spans="2:5" hidden="1">
      <c r="B22" s="37" t="s">
        <v>529</v>
      </c>
      <c r="C22" s="38" t="s">
        <v>530</v>
      </c>
      <c r="D22" s="39"/>
      <c r="E22" t="str">
        <f>IF($D$22="Reported","@ForceFilingCode:true",IF($D$22="Not Reported","@ForceFilingCode:false",""))</f>
        <v/>
      </c>
    </row>
    <row r="23" spans="2:5" hidden="1">
      <c r="B23" s="37" t="s">
        <v>531</v>
      </c>
      <c r="C23" s="38" t="s">
        <v>532</v>
      </c>
      <c r="D23" s="39"/>
      <c r="E23" t="str">
        <f>IF($D$23="Reported","@ForceFilingCode:true",IF($D$23="Not Reported","@ForceFilingCode:false",""))</f>
        <v/>
      </c>
    </row>
    <row r="24" spans="2:5" hidden="1">
      <c r="B24" s="37" t="s">
        <v>533</v>
      </c>
      <c r="C24" s="38" t="s">
        <v>534</v>
      </c>
      <c r="D24" s="39"/>
      <c r="E24" t="str">
        <f>IF($D$24="Reported","@ForceFilingCode:true",IF($D$24="Not Reported","@ForceFilingCode:false",""))</f>
        <v/>
      </c>
    </row>
    <row r="25" spans="2:5" hidden="1">
      <c r="B25" s="37" t="s">
        <v>535</v>
      </c>
      <c r="C25" s="38" t="s">
        <v>536</v>
      </c>
      <c r="D25" s="39"/>
      <c r="E25" t="str">
        <f>IF($D$25="Reported","@ForceFilingCode:true",IF($D$25="Not Reported","@ForceFilingCode:false",""))</f>
        <v/>
      </c>
    </row>
    <row r="26" spans="2:5" hidden="1">
      <c r="B26" s="37" t="s">
        <v>537</v>
      </c>
      <c r="C26" s="38" t="s">
        <v>536</v>
      </c>
      <c r="D26" s="39"/>
      <c r="E26" t="str">
        <f>IF($D$26="Reported","@ForceFilingCode:true",IF($D$26="Not Reported","@ForceFilingCode:false",""))</f>
        <v/>
      </c>
    </row>
    <row r="27" spans="2:5" hidden="1">
      <c r="B27" s="37" t="s">
        <v>538</v>
      </c>
      <c r="C27" s="38" t="s">
        <v>539</v>
      </c>
      <c r="D27" s="39"/>
      <c r="E27" t="str">
        <f>IF($D$27="Reported","@ForceFilingCode:true",IF($D$27="Not Reported","@ForceFilingCode:false",""))</f>
        <v/>
      </c>
    </row>
    <row r="28" spans="2:5" hidden="1">
      <c r="B28" s="37" t="s">
        <v>540</v>
      </c>
      <c r="C28" s="38" t="s">
        <v>541</v>
      </c>
      <c r="D28" s="39"/>
      <c r="E28" t="str">
        <f>IF($D$28="Reported","@ForceFilingCode:true",IF($D$28="Not Reported","@ForceFilingCode:false",""))</f>
        <v/>
      </c>
    </row>
    <row r="29" spans="2:5" hidden="1">
      <c r="B29" s="37" t="s">
        <v>542</v>
      </c>
      <c r="C29" s="38" t="s">
        <v>541</v>
      </c>
      <c r="D29" s="39"/>
      <c r="E29" t="str">
        <f>IF($D$29="Reported","@ForceFilingCode:true",IF($D$29="Not Reported","@ForceFilingCode:false",""))</f>
        <v/>
      </c>
    </row>
    <row r="30" spans="2:5" hidden="1">
      <c r="B30" s="37" t="s">
        <v>543</v>
      </c>
      <c r="C30" s="38" t="s">
        <v>544</v>
      </c>
      <c r="D30" s="39"/>
      <c r="E30" t="str">
        <f>IF($D$30="Reported","@ForceFilingCode:true",IF($D$30="Not Reported","@ForceFilingCode:false",""))</f>
        <v/>
      </c>
    </row>
    <row r="31" spans="2:5">
      <c r="B31" s="37" t="s">
        <v>545</v>
      </c>
      <c r="C31" s="38" t="s">
        <v>544</v>
      </c>
      <c r="D31" s="39" t="s">
        <v>817</v>
      </c>
      <c r="E31" t="str">
        <f>IF($D$31="Reported","@ForceFilingCode:true",IF($D$31="Not Reported","@ForceFilingCode:false",""))</f>
        <v>@ForceFilingCode:true</v>
      </c>
    </row>
    <row r="32" spans="2:5" hidden="1">
      <c r="B32" s="37" t="s">
        <v>546</v>
      </c>
      <c r="C32" s="38" t="s">
        <v>544</v>
      </c>
      <c r="D32" s="39"/>
      <c r="E32" t="str">
        <f>IF($D$32="Reported","@ForceFilingCode:true",IF($D$32="Not Reported","@ForceFilingCode:false",""))</f>
        <v/>
      </c>
    </row>
    <row r="33" spans="2:5" hidden="1">
      <c r="B33" s="37" t="s">
        <v>547</v>
      </c>
      <c r="C33" s="38" t="s">
        <v>544</v>
      </c>
      <c r="D33" s="39"/>
      <c r="E33" t="str">
        <f>IF($D$33="Reported","@ForceFilingCode:true",IF($D$33="Not Reported","@ForceFilingCode:false",""))</f>
        <v/>
      </c>
    </row>
    <row r="34" spans="2:5" hidden="1">
      <c r="B34" s="37" t="s">
        <v>548</v>
      </c>
      <c r="C34" s="38" t="s">
        <v>544</v>
      </c>
      <c r="D34" s="39"/>
      <c r="E34" t="str">
        <f>IF($D$34="Reported","@ForceFilingCode:true",IF($D$34="Not Reported","@ForceFilingCode:false",""))</f>
        <v/>
      </c>
    </row>
    <row r="35" spans="2:5" hidden="1">
      <c r="B35" s="37" t="s">
        <v>549</v>
      </c>
      <c r="C35" s="38" t="s">
        <v>544</v>
      </c>
      <c r="D35" s="39"/>
      <c r="E35" t="str">
        <f>IF($D$35="Reported","@ForceFilingCode:true",IF($D$35="Not Reported","@ForceFilingCode:false",""))</f>
        <v/>
      </c>
    </row>
    <row r="36" spans="2:5" hidden="1">
      <c r="B36" s="37" t="s">
        <v>550</v>
      </c>
      <c r="C36" s="38" t="s">
        <v>551</v>
      </c>
      <c r="D36" s="39"/>
      <c r="E36" t="str">
        <f>IF($D$36="Reported","@ForceFilingCode:true",IF($D$36="Not Reported","@ForceFilingCode:false",""))</f>
        <v/>
      </c>
    </row>
    <row r="37" spans="2:5" hidden="1">
      <c r="B37" s="37" t="s">
        <v>552</v>
      </c>
      <c r="C37" s="38" t="s">
        <v>553</v>
      </c>
      <c r="D37" s="39"/>
      <c r="E37" t="str">
        <f>IF($D$37="Reported","@ForceFilingCode:true",IF($D$37="Not Reported","@ForceFilingCode:false",""))</f>
        <v/>
      </c>
    </row>
    <row r="38" spans="2:5" hidden="1">
      <c r="B38" s="37" t="s">
        <v>554</v>
      </c>
      <c r="C38" s="38" t="s">
        <v>555</v>
      </c>
      <c r="D38" s="39"/>
      <c r="E38" t="str">
        <f>IF($D$38="Reported","@ForceFilingCode:true",IF($D$38="Not Reported","@ForceFilingCode:false",""))</f>
        <v/>
      </c>
    </row>
    <row r="39" spans="2:5" hidden="1">
      <c r="B39" s="37" t="s">
        <v>556</v>
      </c>
      <c r="C39" s="38" t="s">
        <v>557</v>
      </c>
      <c r="D39" s="39"/>
      <c r="E39" t="str">
        <f>IF($D$39="Reported","@ForceFilingCode:true",IF($D$39="Not Reported","@ForceFilingCode:false",""))</f>
        <v/>
      </c>
    </row>
    <row r="40" spans="2:5" hidden="1">
      <c r="B40" s="37" t="s">
        <v>558</v>
      </c>
      <c r="C40" s="38" t="s">
        <v>559</v>
      </c>
      <c r="D40" s="39"/>
      <c r="E40" t="str">
        <f>IF($D$40="Reported","@ForceFilingCode:true",IF($D$40="Not Reported","@ForceFilingCode:false",""))</f>
        <v/>
      </c>
    </row>
    <row r="41" spans="2:5" hidden="1">
      <c r="B41" s="37" t="s">
        <v>560</v>
      </c>
      <c r="C41" s="38" t="s">
        <v>561</v>
      </c>
      <c r="D41" s="39"/>
      <c r="E41" t="str">
        <f>IF($D$41="Reported","@ForceFilingCode:true",IF($D$41="Not Reported","@ForceFilingCode:false",""))</f>
        <v/>
      </c>
    </row>
    <row r="42" spans="2:5" hidden="1">
      <c r="B42" s="37" t="s">
        <v>562</v>
      </c>
      <c r="C42" s="38" t="s">
        <v>563</v>
      </c>
      <c r="D42" s="39"/>
      <c r="E42" t="str">
        <f>IF($D$42="Reported","@ForceFilingCode:true",IF($D$42="Not Reported","@ForceFilingCode:false",""))</f>
        <v/>
      </c>
    </row>
    <row r="43" spans="2:5" hidden="1">
      <c r="B43" s="37" t="s">
        <v>564</v>
      </c>
      <c r="C43" s="38" t="s">
        <v>563</v>
      </c>
      <c r="D43" s="39"/>
      <c r="E43" t="str">
        <f>IF($D$43="Reported","@ForceFilingCode:true",IF($D$43="Not Reported","@ForceFilingCode:false",""))</f>
        <v/>
      </c>
    </row>
    <row r="44" spans="2:5" hidden="1">
      <c r="B44" s="37" t="s">
        <v>565</v>
      </c>
      <c r="C44" s="38" t="s">
        <v>566</v>
      </c>
      <c r="D44" s="39"/>
      <c r="E44" t="str">
        <f>IF($D$44="Reported","@ForceFilingCode:true",IF($D$44="Not Reported","@ForceFilingCode:false",""))</f>
        <v/>
      </c>
    </row>
    <row r="45" spans="2:5" hidden="1">
      <c r="B45" s="37" t="s">
        <v>567</v>
      </c>
      <c r="C45" s="38" t="s">
        <v>568</v>
      </c>
      <c r="D45" s="39"/>
      <c r="E45" t="str">
        <f>IF($D$45="Reported","@ForceFilingCode:true",IF($D$45="Not Reported","@ForceFilingCode:false",""))</f>
        <v/>
      </c>
    </row>
    <row r="46" spans="2:5" hidden="1">
      <c r="B46" s="37" t="s">
        <v>569</v>
      </c>
      <c r="C46" s="38" t="s">
        <v>570</v>
      </c>
      <c r="D46" s="39"/>
      <c r="E46" t="str">
        <f>IF($D$46="Reported","@ForceFilingCode:true",IF($D$46="Not Reported","@ForceFilingCode:false",""))</f>
        <v/>
      </c>
    </row>
    <row r="47" spans="2:5" hidden="1">
      <c r="B47" s="37" t="s">
        <v>571</v>
      </c>
      <c r="C47" s="38" t="s">
        <v>572</v>
      </c>
      <c r="D47" s="39"/>
      <c r="E47" t="str">
        <f>IF($D$47="Reported","@ForceFilingCode:true",IF($D$47="Not Reported","@ForceFilingCode:false",""))</f>
        <v/>
      </c>
    </row>
    <row r="48" spans="2:5" hidden="1">
      <c r="B48" s="37" t="s">
        <v>573</v>
      </c>
      <c r="C48" s="38" t="s">
        <v>574</v>
      </c>
      <c r="D48" s="39"/>
      <c r="E48" t="str">
        <f>IF($D$48="Reported","@ForceFilingCode:true",IF($D$48="Not Reported","@ForceFilingCode:false",""))</f>
        <v/>
      </c>
    </row>
    <row r="49" spans="2:5" hidden="1">
      <c r="B49" s="37" t="s">
        <v>575</v>
      </c>
      <c r="C49" s="38" t="s">
        <v>576</v>
      </c>
      <c r="D49" s="39"/>
      <c r="E49" t="str">
        <f>IF($D$49="Reported","@ForceFilingCode:true",IF($D$49="Not Reported","@ForceFilingCode:false",""))</f>
        <v/>
      </c>
    </row>
    <row r="50" spans="2:5" hidden="1">
      <c r="B50" s="37" t="s">
        <v>577</v>
      </c>
      <c r="C50" s="38" t="s">
        <v>578</v>
      </c>
      <c r="D50" s="39"/>
      <c r="E50" t="str">
        <f>IF($D$50="Reported","@ForceFilingCode:true",IF($D$50="Not Reported","@ForceFilingCode:false",""))</f>
        <v/>
      </c>
    </row>
    <row r="51" spans="2:5">
      <c r="B51" s="37" t="s">
        <v>579</v>
      </c>
      <c r="C51" s="38" t="s">
        <v>578</v>
      </c>
      <c r="D51" s="39" t="s">
        <v>817</v>
      </c>
      <c r="E51" t="str">
        <f>IF($D$51="Reported","@ForceFilingCode:true",IF($D$51="Not Reported","@ForceFilingCode:false",""))</f>
        <v>@ForceFilingCode:true</v>
      </c>
    </row>
    <row r="52" spans="2:5" hidden="1">
      <c r="B52" s="37" t="s">
        <v>580</v>
      </c>
      <c r="C52" s="38" t="s">
        <v>578</v>
      </c>
      <c r="D52" s="39"/>
      <c r="E52" t="str">
        <f>IF($D$52="Reported","@ForceFilingCode:true",IF($D$52="Not Reported","@ForceFilingCode:false",""))</f>
        <v/>
      </c>
    </row>
    <row r="53" spans="2:5">
      <c r="B53" s="37" t="s">
        <v>581</v>
      </c>
      <c r="C53" s="38" t="s">
        <v>582</v>
      </c>
      <c r="D53" s="39" t="s">
        <v>817</v>
      </c>
      <c r="E53" t="str">
        <f>IF($D$53="Reported","@ForceFilingCode:true",IF($D$53="Not Reported","@ForceFilingCode:false",""))</f>
        <v>@ForceFilingCode:true</v>
      </c>
    </row>
    <row r="54" spans="2:5" hidden="1">
      <c r="B54" s="37" t="s">
        <v>583</v>
      </c>
      <c r="C54" s="38" t="s">
        <v>584</v>
      </c>
      <c r="D54" s="39"/>
      <c r="E54" t="str">
        <f>IF($D$54="Reported","@ForceFilingCode:true",IF($D$54="Not Reported","@ForceFilingCode:false",""))</f>
        <v/>
      </c>
    </row>
    <row r="55" spans="2:5" hidden="1">
      <c r="B55" s="37" t="s">
        <v>585</v>
      </c>
      <c r="C55" s="38" t="s">
        <v>586</v>
      </c>
      <c r="D55" s="39"/>
      <c r="E55" t="str">
        <f>IF($D$55="Reported","@ForceFilingCode:true",IF($D$55="Not Reported","@ForceFilingCode:false",""))</f>
        <v/>
      </c>
    </row>
    <row r="56" spans="2:5" hidden="1">
      <c r="B56" s="37" t="s">
        <v>587</v>
      </c>
      <c r="C56" s="38" t="s">
        <v>586</v>
      </c>
      <c r="D56" s="39"/>
      <c r="E56" t="str">
        <f>IF($D$56="Reported","@ForceFilingCode:true",IF($D$56="Not Reported","@ForceFilingCode:false",""))</f>
        <v/>
      </c>
    </row>
    <row r="57" spans="2:5" hidden="1">
      <c r="B57" s="37" t="s">
        <v>588</v>
      </c>
      <c r="C57" s="38" t="s">
        <v>586</v>
      </c>
      <c r="D57" s="39"/>
      <c r="E57" t="str">
        <f>IF($D$57="Reported","@ForceFilingCode:true",IF($D$57="Not Reported","@ForceFilingCode:false",""))</f>
        <v/>
      </c>
    </row>
    <row r="58" spans="2:5" hidden="1">
      <c r="B58" s="37" t="s">
        <v>589</v>
      </c>
      <c r="C58" s="38" t="s">
        <v>590</v>
      </c>
      <c r="D58" s="39"/>
      <c r="E58" t="str">
        <f>IF($D$58="Reported","@ForceFilingCode:true",IF($D$58="Not Reported","@ForceFilingCode:false",""))</f>
        <v/>
      </c>
    </row>
    <row r="59" spans="2:5" hidden="1">
      <c r="B59" s="37" t="s">
        <v>591</v>
      </c>
      <c r="C59" s="38" t="s">
        <v>592</v>
      </c>
      <c r="D59" s="39"/>
      <c r="E59" t="str">
        <f>IF($D$59="Reported","@ForceFilingCode:true",IF($D$59="Not Reported","@ForceFilingCode:false",""))</f>
        <v/>
      </c>
    </row>
    <row r="60" spans="2:5" hidden="1">
      <c r="B60" s="37" t="s">
        <v>593</v>
      </c>
      <c r="C60" s="38" t="s">
        <v>594</v>
      </c>
      <c r="D60" s="39"/>
      <c r="E60" t="str">
        <f>IF($D$60="Reported","@ForceFilingCode:true",IF($D$60="Not Reported","@ForceFilingCode:false",""))</f>
        <v/>
      </c>
    </row>
    <row r="61" spans="2:5" hidden="1">
      <c r="B61" s="37" t="s">
        <v>595</v>
      </c>
      <c r="C61" s="38" t="s">
        <v>594</v>
      </c>
      <c r="D61" s="39"/>
      <c r="E61" t="str">
        <f>IF($D$61="Reported","@ForceFilingCode:true",IF($D$61="Not Reported","@ForceFilingCode:false",""))</f>
        <v/>
      </c>
    </row>
    <row r="62" spans="2:5" hidden="1">
      <c r="B62" s="37" t="s">
        <v>596</v>
      </c>
      <c r="C62" s="38" t="s">
        <v>597</v>
      </c>
      <c r="D62" s="39"/>
      <c r="E62" t="str">
        <f>IF($D$62="Reported","@ForceFilingCode:true",IF($D$62="Not Reported","@ForceFilingCode:false",""))</f>
        <v/>
      </c>
    </row>
    <row r="63" spans="2:5" hidden="1">
      <c r="B63" s="37" t="s">
        <v>598</v>
      </c>
      <c r="C63" s="38" t="s">
        <v>597</v>
      </c>
      <c r="D63" s="39"/>
      <c r="E63" t="str">
        <f>IF($D$63="Reported","@ForceFilingCode:true",IF($D$63="Not Reported","@ForceFilingCode:false",""))</f>
        <v/>
      </c>
    </row>
    <row r="64" spans="2:5" hidden="1">
      <c r="B64" s="37" t="s">
        <v>599</v>
      </c>
      <c r="C64" s="38" t="s">
        <v>600</v>
      </c>
      <c r="D64" s="39"/>
      <c r="E64" t="str">
        <f>IF($D$64="Reported","@ForceFilingCode:true",IF($D$64="Not Reported","@ForceFilingCode:false",""))</f>
        <v/>
      </c>
    </row>
    <row r="65" spans="2:5" hidden="1">
      <c r="B65" s="37" t="s">
        <v>601</v>
      </c>
      <c r="C65" s="38" t="s">
        <v>600</v>
      </c>
      <c r="D65" s="39"/>
      <c r="E65" t="str">
        <f>IF($D$65="Reported","@ForceFilingCode:true",IF($D$65="Not Reported","@ForceFilingCode:false",""))</f>
        <v/>
      </c>
    </row>
    <row r="66" spans="2:5" hidden="1">
      <c r="B66" s="37" t="s">
        <v>602</v>
      </c>
      <c r="C66" s="38" t="s">
        <v>603</v>
      </c>
      <c r="D66" s="39"/>
      <c r="E66" t="str">
        <f>IF($D$66="Reported","@ForceFilingCode:true",IF($D$66="Not Reported","@ForceFilingCode:false",""))</f>
        <v/>
      </c>
    </row>
    <row r="67" spans="2:5" hidden="1">
      <c r="B67" s="37" t="s">
        <v>604</v>
      </c>
      <c r="C67" s="38" t="s">
        <v>603</v>
      </c>
      <c r="D67" s="39"/>
      <c r="E67" t="str">
        <f>IF($D$67="Reported","@ForceFilingCode:true",IF($D$67="Not Reported","@ForceFilingCode:false",""))</f>
        <v/>
      </c>
    </row>
    <row r="68" spans="2:5" hidden="1">
      <c r="B68" s="37" t="s">
        <v>605</v>
      </c>
      <c r="C68" s="38" t="s">
        <v>606</v>
      </c>
      <c r="D68" s="39"/>
      <c r="E68" t="str">
        <f>IF($D$68="Reported","@ForceFilingCode:true",IF($D$68="Not Reported","@ForceFilingCode:false",""))</f>
        <v/>
      </c>
    </row>
    <row r="69" spans="2:5" hidden="1">
      <c r="B69" s="37" t="s">
        <v>607</v>
      </c>
      <c r="C69" s="38" t="s">
        <v>606</v>
      </c>
      <c r="D69" s="39"/>
      <c r="E69" t="str">
        <f>IF($D$69="Reported","@ForceFilingCode:true",IF($D$69="Not Reported","@ForceFilingCode:false",""))</f>
        <v/>
      </c>
    </row>
    <row r="70" spans="2:5" hidden="1">
      <c r="B70" s="37" t="s">
        <v>608</v>
      </c>
      <c r="C70" s="38" t="s">
        <v>609</v>
      </c>
      <c r="D70" s="39"/>
      <c r="E70" t="str">
        <f>IF($D$70="Reported","@ForceFilingCode:true",IF($D$70="Not Reported","@ForceFilingCode:false",""))</f>
        <v/>
      </c>
    </row>
    <row r="71" spans="2:5" hidden="1">
      <c r="B71" s="37" t="s">
        <v>610</v>
      </c>
      <c r="C71" s="38" t="s">
        <v>609</v>
      </c>
      <c r="D71" s="39"/>
      <c r="E71" t="str">
        <f>IF($D$71="Reported","@ForceFilingCode:true",IF($D$71="Not Reported","@ForceFilingCode:false",""))</f>
        <v/>
      </c>
    </row>
    <row r="72" spans="2:5" hidden="1">
      <c r="B72" s="37" t="s">
        <v>611</v>
      </c>
      <c r="C72" s="38" t="s">
        <v>612</v>
      </c>
      <c r="D72" s="39"/>
      <c r="E72" t="str">
        <f>IF($D$72="Reported","@ForceFilingCode:true",IF($D$72="Not Reported","@ForceFilingCode:false",""))</f>
        <v/>
      </c>
    </row>
    <row r="73" spans="2:5" hidden="1">
      <c r="B73" s="37" t="s">
        <v>613</v>
      </c>
      <c r="C73" s="38" t="s">
        <v>612</v>
      </c>
      <c r="D73" s="39"/>
      <c r="E73" t="str">
        <f>IF($D$73="Reported","@ForceFilingCode:true",IF($D$73="Not Reported","@ForceFilingCode:false",""))</f>
        <v/>
      </c>
    </row>
    <row r="74" spans="2:5" hidden="1">
      <c r="B74" s="37" t="s">
        <v>614</v>
      </c>
      <c r="C74" s="38" t="s">
        <v>615</v>
      </c>
      <c r="D74" s="39"/>
      <c r="E74" t="str">
        <f>IF($D$74="Reported","@ForceFilingCode:true",IF($D$74="Not Reported","@ForceFilingCode:false",""))</f>
        <v/>
      </c>
    </row>
    <row r="75" spans="2:5">
      <c r="B75" s="37" t="s">
        <v>616</v>
      </c>
      <c r="C75" s="38" t="s">
        <v>615</v>
      </c>
      <c r="D75" s="39" t="s">
        <v>817</v>
      </c>
      <c r="E75" t="str">
        <f>IF($D$75="Reported","@ForceFilingCode:true",IF($D$75="Not Reported","@ForceFilingCode:false",""))</f>
        <v>@ForceFilingCode:true</v>
      </c>
    </row>
    <row r="76" spans="2:5" hidden="1">
      <c r="B76" s="37" t="s">
        <v>617</v>
      </c>
      <c r="C76" s="38" t="s">
        <v>615</v>
      </c>
      <c r="D76" s="39"/>
      <c r="E76" t="str">
        <f>IF($D$76="Reported","@ForceFilingCode:true",IF($D$76="Not Reported","@ForceFilingCode:false",""))</f>
        <v/>
      </c>
    </row>
    <row r="77" spans="2:5" hidden="1">
      <c r="B77" s="37" t="s">
        <v>618</v>
      </c>
      <c r="C77" s="38" t="s">
        <v>619</v>
      </c>
      <c r="D77" s="39"/>
      <c r="E77" t="str">
        <f>IF($D$77="Reported","@ForceFilingCode:true",IF($D$77="Not Reported","@ForceFilingCode:false",""))</f>
        <v/>
      </c>
    </row>
    <row r="78" spans="2:5" hidden="1">
      <c r="B78" s="37" t="s">
        <v>620</v>
      </c>
      <c r="C78" s="38" t="s">
        <v>621</v>
      </c>
      <c r="D78" s="39"/>
      <c r="E78" t="str">
        <f>IF($D$78="Reported","@ForceFilingCode:true",IF($D$78="Not Reported","@ForceFilingCode:false",""))</f>
        <v/>
      </c>
    </row>
    <row r="79" spans="2:5" hidden="1">
      <c r="B79" s="37" t="s">
        <v>622</v>
      </c>
      <c r="C79" s="38" t="s">
        <v>623</v>
      </c>
      <c r="D79" s="39"/>
      <c r="E79" t="str">
        <f>IF($D$79="Reported","@ForceFilingCode:true",IF($D$79="Not Reported","@ForceFilingCode:false",""))</f>
        <v/>
      </c>
    </row>
    <row r="80" spans="2:5" hidden="1">
      <c r="B80" s="37" t="s">
        <v>624</v>
      </c>
      <c r="C80" s="38" t="s">
        <v>623</v>
      </c>
      <c r="D80" s="39"/>
      <c r="E80" t="str">
        <f>IF($D$80="Reported","@ForceFilingCode:true",IF($D$80="Not Reported","@ForceFilingCode:false",""))</f>
        <v/>
      </c>
    </row>
    <row r="81" spans="2:5" hidden="1">
      <c r="B81" s="37" t="s">
        <v>625</v>
      </c>
      <c r="C81" s="38" t="s">
        <v>626</v>
      </c>
      <c r="D81" s="39"/>
      <c r="E81" t="str">
        <f>IF($D$81="Reported","@ForceFilingCode:true",IF($D$81="Not Reported","@ForceFilingCode:false",""))</f>
        <v/>
      </c>
    </row>
    <row r="82" spans="2:5" hidden="1">
      <c r="B82" s="37" t="s">
        <v>627</v>
      </c>
      <c r="C82" s="38" t="s">
        <v>626</v>
      </c>
      <c r="D82" s="39"/>
      <c r="E82" t="str">
        <f>IF($D$82="Reported","@ForceFilingCode:true",IF($D$82="Not Reported","@ForceFilingCode:false",""))</f>
        <v/>
      </c>
    </row>
    <row r="83" spans="2:5" hidden="1">
      <c r="B83" s="37" t="s">
        <v>628</v>
      </c>
      <c r="C83" s="38" t="s">
        <v>629</v>
      </c>
      <c r="D83" s="39"/>
      <c r="E83" t="str">
        <f>IF($D$83="Reported","@ForceFilingCode:true",IF($D$83="Not Reported","@ForceFilingCode:false",""))</f>
        <v/>
      </c>
    </row>
    <row r="84" spans="2:5" hidden="1">
      <c r="B84" s="37" t="s">
        <v>630</v>
      </c>
      <c r="C84" s="38" t="s">
        <v>629</v>
      </c>
      <c r="D84" s="39"/>
      <c r="E84" t="str">
        <f>IF($D$84="Reported","@ForceFilingCode:true",IF($D$84="Not Reported","@ForceFilingCode:false",""))</f>
        <v/>
      </c>
    </row>
    <row r="85" spans="2:5" hidden="1">
      <c r="B85" s="37" t="s">
        <v>631</v>
      </c>
      <c r="C85" s="38" t="s">
        <v>632</v>
      </c>
      <c r="D85" s="39"/>
      <c r="E85" t="str">
        <f>IF($D$85="Reported","@ForceFilingCode:true",IF($D$85="Not Reported","@ForceFilingCode:false",""))</f>
        <v/>
      </c>
    </row>
    <row r="86" spans="2:5" hidden="1">
      <c r="B86" s="37" t="s">
        <v>633</v>
      </c>
      <c r="C86" s="38" t="s">
        <v>634</v>
      </c>
      <c r="D86" s="39"/>
      <c r="E86" t="str">
        <f>IF($D$86="Reported","@ForceFilingCode:true",IF($D$86="Not Reported","@ForceFilingCode:false",""))</f>
        <v/>
      </c>
    </row>
    <row r="87" spans="2:5">
      <c r="B87" s="37" t="s">
        <v>635</v>
      </c>
      <c r="C87" s="38" t="s">
        <v>634</v>
      </c>
      <c r="D87" s="39" t="s">
        <v>817</v>
      </c>
      <c r="E87" t="str">
        <f>IF($D$87="Reported","@ForceFilingCode:true",IF($D$87="Not Reported","@ForceFilingCode:false",""))</f>
        <v>@ForceFilingCode:true</v>
      </c>
    </row>
    <row r="88" spans="2:5" hidden="1">
      <c r="B88" s="37" t="s">
        <v>636</v>
      </c>
      <c r="C88" s="38" t="s">
        <v>634</v>
      </c>
      <c r="D88" s="39"/>
      <c r="E88" t="str">
        <f>IF($D$88="Reported","@ForceFilingCode:true",IF($D$88="Not Reported","@ForceFilingCode:false",""))</f>
        <v/>
      </c>
    </row>
    <row r="89" spans="2:5" hidden="1">
      <c r="B89" s="37" t="s">
        <v>637</v>
      </c>
      <c r="C89" s="38" t="s">
        <v>638</v>
      </c>
      <c r="D89" s="39"/>
      <c r="E89" t="str">
        <f>IF($D$89="Reported","@ForceFilingCode:true",IF($D$89="Not Reported","@ForceFilingCode:false",""))</f>
        <v/>
      </c>
    </row>
    <row r="90" spans="2:5" hidden="1">
      <c r="B90" s="37" t="s">
        <v>639</v>
      </c>
      <c r="C90" s="38" t="s">
        <v>640</v>
      </c>
      <c r="D90" s="39"/>
      <c r="E90" t="str">
        <f>IF($D$90="Reported","@ForceFilingCode:true",IF($D$90="Not Reported","@ForceFilingCode:false",""))</f>
        <v/>
      </c>
    </row>
    <row r="91" spans="2:5" hidden="1">
      <c r="B91" s="37" t="s">
        <v>641</v>
      </c>
      <c r="C91" s="38" t="s">
        <v>642</v>
      </c>
      <c r="D91" s="39"/>
      <c r="E91" t="str">
        <f>IF($D$91="Reported","@ForceFilingCode:true",IF($D$91="Not Reported","@ForceFilingCode:false",""))</f>
        <v/>
      </c>
    </row>
    <row r="92" spans="2:5">
      <c r="B92" s="37" t="s">
        <v>643</v>
      </c>
      <c r="C92" s="38" t="s">
        <v>642</v>
      </c>
      <c r="D92" s="39" t="s">
        <v>817</v>
      </c>
      <c r="E92" t="str">
        <f>IF($D$92="Reported","@ForceFilingCode:true",IF($D$92="Not Reported","@ForceFilingCode:false",""))</f>
        <v>@ForceFilingCode:true</v>
      </c>
    </row>
    <row r="93" spans="2:5" hidden="1">
      <c r="B93" s="37" t="s">
        <v>644</v>
      </c>
      <c r="C93" s="38" t="s">
        <v>645</v>
      </c>
      <c r="D93" s="39"/>
      <c r="E93" t="str">
        <f>IF($D$93="Reported","@ForceFilingCode:true",IF($D$93="Not Reported","@ForceFilingCode:false",""))</f>
        <v/>
      </c>
    </row>
    <row r="94" spans="2:5" hidden="1">
      <c r="B94" s="37" t="s">
        <v>646</v>
      </c>
      <c r="C94" s="38" t="s">
        <v>647</v>
      </c>
      <c r="D94" s="39"/>
      <c r="E94" t="str">
        <f>IF($D$94="Reported","@ForceFilingCode:true",IF($D$94="Not Reported","@ForceFilingCode:false",""))</f>
        <v/>
      </c>
    </row>
    <row r="95" spans="2:5" hidden="1">
      <c r="B95" s="37" t="s">
        <v>648</v>
      </c>
      <c r="C95" s="38" t="s">
        <v>649</v>
      </c>
      <c r="D95" s="39"/>
      <c r="E95" t="str">
        <f>IF($D$95="Reported","@ForceFilingCode:true",IF($D$95="Not Reported","@ForceFilingCode:false",""))</f>
        <v/>
      </c>
    </row>
    <row r="96" spans="2:5" hidden="1">
      <c r="B96" s="37" t="s">
        <v>650</v>
      </c>
      <c r="C96" s="38" t="s">
        <v>651</v>
      </c>
      <c r="D96" s="39"/>
      <c r="E96" t="str">
        <f>IF($D$96="Reported","@ForceFilingCode:true",IF($D$96="Not Reported","@ForceFilingCode:false",""))</f>
        <v/>
      </c>
    </row>
    <row r="97" spans="2:5" hidden="1">
      <c r="B97" s="37" t="s">
        <v>652</v>
      </c>
      <c r="C97" s="38" t="s">
        <v>653</v>
      </c>
      <c r="D97" s="39"/>
      <c r="E97" t="str">
        <f>IF($D$97="Reported","@ForceFilingCode:true",IF($D$97="Not Reported","@ForceFilingCode:false",""))</f>
        <v/>
      </c>
    </row>
    <row r="98" spans="2:5" hidden="1">
      <c r="B98" s="37" t="s">
        <v>654</v>
      </c>
      <c r="C98" s="38" t="s">
        <v>653</v>
      </c>
      <c r="D98" s="39"/>
      <c r="E98" t="str">
        <f>IF($D$98="Reported","@ForceFilingCode:true",IF($D$98="Not Reported","@ForceFilingCode:false",""))</f>
        <v/>
      </c>
    </row>
    <row r="99" spans="2:5">
      <c r="B99" s="37" t="s">
        <v>655</v>
      </c>
      <c r="C99" s="38" t="s">
        <v>653</v>
      </c>
      <c r="D99" s="39" t="s">
        <v>817</v>
      </c>
      <c r="E99" t="str">
        <f>IF($D$99="Reported","@ForceFilingCode:true",IF($D$99="Not Reported","@ForceFilingCode:false",""))</f>
        <v>@ForceFilingCode:true</v>
      </c>
    </row>
    <row r="100" spans="2:5" hidden="1">
      <c r="B100" s="37" t="s">
        <v>656</v>
      </c>
      <c r="C100" s="38" t="s">
        <v>653</v>
      </c>
      <c r="D100" s="39"/>
      <c r="E100" t="str">
        <f>IF($D$100="Reported","@ForceFilingCode:true",IF($D$100="Not Reported","@ForceFilingCode:false",""))</f>
        <v/>
      </c>
    </row>
    <row r="101" spans="2:5" hidden="1">
      <c r="B101" s="37" t="s">
        <v>657</v>
      </c>
      <c r="C101" s="38" t="s">
        <v>658</v>
      </c>
      <c r="D101" s="39"/>
      <c r="E101" t="str">
        <f>IF($D$101="Reported","@ForceFilingCode:true",IF($D$101="Not Reported","@ForceFilingCode:false",""))</f>
        <v/>
      </c>
    </row>
    <row r="102" spans="2:5" hidden="1">
      <c r="B102" s="37" t="s">
        <v>659</v>
      </c>
      <c r="C102" s="38" t="s">
        <v>660</v>
      </c>
      <c r="D102" s="39"/>
      <c r="E102" t="str">
        <f>IF($D$102="Reported","@ForceFilingCode:true",IF($D$102="Not Reported","@ForceFilingCode:false",""))</f>
        <v/>
      </c>
    </row>
    <row r="103" spans="2:5" hidden="1">
      <c r="B103" s="37" t="s">
        <v>661</v>
      </c>
      <c r="C103" s="38" t="s">
        <v>662</v>
      </c>
      <c r="D103" s="39"/>
      <c r="E103" t="str">
        <f>IF($D$103="Reported","@ForceFilingCode:true",IF($D$103="Not Reported","@ForceFilingCode:false",""))</f>
        <v/>
      </c>
    </row>
    <row r="104" spans="2:5" hidden="1">
      <c r="B104" s="37" t="s">
        <v>663</v>
      </c>
      <c r="C104" s="38" t="s">
        <v>664</v>
      </c>
      <c r="D104" s="39"/>
      <c r="E104" t="str">
        <f>IF($D$104="Reported","@ForceFilingCode:true",IF($D$104="Not Reported","@ForceFilingCode:false",""))</f>
        <v/>
      </c>
    </row>
    <row r="105" spans="2:5" hidden="1">
      <c r="B105" s="37" t="s">
        <v>665</v>
      </c>
      <c r="C105" s="38" t="s">
        <v>666</v>
      </c>
      <c r="D105" s="39"/>
      <c r="E105" t="str">
        <f>IF($D$105="Reported","@ForceFilingCode:true",IF($D$105="Not Reported","@ForceFilingCode:false",""))</f>
        <v/>
      </c>
    </row>
    <row r="106" spans="2:5">
      <c r="B106" s="37" t="s">
        <v>667</v>
      </c>
      <c r="C106" s="38" t="s">
        <v>668</v>
      </c>
      <c r="D106" s="39" t="s">
        <v>817</v>
      </c>
      <c r="E106" t="str">
        <f>IF($D$106="Reported","@ForceFilingCode:true",IF($D$106="Not Reported","@ForceFilingCode:false",""))</f>
        <v>@ForceFilingCode:true</v>
      </c>
    </row>
    <row r="107" spans="2:5" hidden="1">
      <c r="B107" s="37" t="s">
        <v>669</v>
      </c>
      <c r="C107" s="38" t="s">
        <v>668</v>
      </c>
      <c r="D107" s="39"/>
      <c r="E107" t="str">
        <f>IF($D$107="Reported","@ForceFilingCode:true",IF($D$107="Not Reported","@ForceFilingCode:false",""))</f>
        <v/>
      </c>
    </row>
    <row r="108" spans="2:5" hidden="1">
      <c r="B108" s="37" t="s">
        <v>670</v>
      </c>
      <c r="C108" s="38" t="s">
        <v>668</v>
      </c>
      <c r="D108" s="39"/>
      <c r="E108" t="str">
        <f>IF($D$108="Reported","@ForceFilingCode:true",IF($D$108="Not Reported","@ForceFilingCode:false",""))</f>
        <v/>
      </c>
    </row>
    <row r="109" spans="2:5" hidden="1">
      <c r="B109" s="37" t="s">
        <v>671</v>
      </c>
      <c r="C109" s="38" t="s">
        <v>668</v>
      </c>
      <c r="D109" s="39"/>
      <c r="E109" t="str">
        <f>IF($D$109="Reported","@ForceFilingCode:true",IF($D$109="Not Reported","@ForceFilingCode:false",""))</f>
        <v/>
      </c>
    </row>
    <row r="110" spans="2:5" hidden="1">
      <c r="B110" s="37" t="s">
        <v>672</v>
      </c>
      <c r="C110" s="38" t="s">
        <v>668</v>
      </c>
      <c r="D110" s="39"/>
      <c r="E110" t="str">
        <f>IF($D$110="Reported","@ForceFilingCode:true",IF($D$110="Not Reported","@ForceFilingCode:false",""))</f>
        <v/>
      </c>
    </row>
    <row r="111" spans="2:5" hidden="1">
      <c r="B111" s="37" t="s">
        <v>673</v>
      </c>
      <c r="C111" s="38" t="s">
        <v>674</v>
      </c>
      <c r="D111" s="39"/>
      <c r="E111" t="str">
        <f>IF($D$111="Reported","@ForceFilingCode:true",IF($D$111="Not Reported","@ForceFilingCode:false",""))</f>
        <v/>
      </c>
    </row>
    <row r="112" spans="2:5" hidden="1">
      <c r="B112" s="37" t="s">
        <v>675</v>
      </c>
      <c r="C112" s="38" t="s">
        <v>674</v>
      </c>
      <c r="D112" s="39"/>
      <c r="E112" t="str">
        <f>IF($D$112="Reported","@ForceFilingCode:true",IF($D$112="Not Reported","@ForceFilingCode:false",""))</f>
        <v/>
      </c>
    </row>
    <row r="113" spans="2:5" hidden="1">
      <c r="B113" s="37" t="s">
        <v>676</v>
      </c>
      <c r="C113" s="38" t="s">
        <v>677</v>
      </c>
      <c r="D113" s="39"/>
      <c r="E113" t="str">
        <f>IF($D$113="Reported","@ForceFilingCode:true",IF($D$113="Not Reported","@ForceFilingCode:false",""))</f>
        <v/>
      </c>
    </row>
    <row r="114" spans="2:5" hidden="1">
      <c r="B114" s="37" t="s">
        <v>678</v>
      </c>
      <c r="C114" s="38" t="s">
        <v>677</v>
      </c>
      <c r="D114" s="39"/>
      <c r="E114" t="str">
        <f>IF($D$114="Reported","@ForceFilingCode:true",IF($D$114="Not Reported","@ForceFilingCode:false",""))</f>
        <v/>
      </c>
    </row>
    <row r="115" spans="2:5" hidden="1">
      <c r="B115" s="37" t="s">
        <v>679</v>
      </c>
      <c r="C115" s="38" t="s">
        <v>680</v>
      </c>
      <c r="D115" s="39"/>
      <c r="E115" t="str">
        <f>IF($D$115="Reported","@ForceFilingCode:true",IF($D$115="Not Reported","@ForceFilingCode:false",""))</f>
        <v/>
      </c>
    </row>
    <row r="116" spans="2:5" hidden="1">
      <c r="B116" s="37" t="s">
        <v>681</v>
      </c>
      <c r="C116" s="38" t="s">
        <v>682</v>
      </c>
      <c r="D116" s="39"/>
      <c r="E116" t="str">
        <f>IF($D$116="Reported","@ForceFilingCode:true",IF($D$116="Not Reported","@ForceFilingCode:false",""))</f>
        <v/>
      </c>
    </row>
    <row r="117" spans="2:5" hidden="1">
      <c r="B117" s="37" t="s">
        <v>683</v>
      </c>
      <c r="C117" s="38" t="s">
        <v>682</v>
      </c>
      <c r="D117" s="39"/>
      <c r="E117" t="str">
        <f>IF($D$117="Reported","@ForceFilingCode:true",IF($D$117="Not Reported","@ForceFilingCode:false",""))</f>
        <v/>
      </c>
    </row>
    <row r="118" spans="2:5" hidden="1">
      <c r="B118" s="37" t="s">
        <v>684</v>
      </c>
      <c r="C118" s="38" t="s">
        <v>685</v>
      </c>
      <c r="D118" s="39"/>
      <c r="E118" t="str">
        <f>IF($D$118="Reported","@ForceFilingCode:true",IF($D$118="Not Reported","@ForceFilingCode:false",""))</f>
        <v/>
      </c>
    </row>
    <row r="119" spans="2:5" hidden="1">
      <c r="B119" s="37" t="s">
        <v>686</v>
      </c>
      <c r="C119" s="38" t="s">
        <v>687</v>
      </c>
      <c r="D119" s="39"/>
      <c r="E119" t="str">
        <f>IF($D$119="Reported","@ForceFilingCode:true",IF($D$119="Not Reported","@ForceFilingCode:false",""))</f>
        <v/>
      </c>
    </row>
    <row r="120" spans="2:5" hidden="1">
      <c r="B120" s="37" t="s">
        <v>688</v>
      </c>
      <c r="C120" s="38" t="s">
        <v>689</v>
      </c>
      <c r="D120" s="39"/>
      <c r="E120" t="str">
        <f>IF($D$120="Reported","@ForceFilingCode:true",IF($D$120="Not Reported","@ForceFilingCode:false",""))</f>
        <v/>
      </c>
    </row>
    <row r="121" spans="2:5">
      <c r="B121" s="37" t="s">
        <v>690</v>
      </c>
      <c r="C121" s="38" t="s">
        <v>687</v>
      </c>
      <c r="D121" s="39" t="s">
        <v>817</v>
      </c>
      <c r="E121" t="str">
        <f>IF($D$121="Reported","@ForceFilingCode:true",IF($D$121="Not Reported","@ForceFilingCode:false",""))</f>
        <v>@ForceFilingCode:true</v>
      </c>
    </row>
    <row r="122" spans="2:5" hidden="1">
      <c r="B122" s="37" t="s">
        <v>691</v>
      </c>
      <c r="C122" s="38" t="s">
        <v>689</v>
      </c>
      <c r="D122" s="39"/>
      <c r="E122" t="str">
        <f>IF($D$122="Reported","@ForceFilingCode:true",IF($D$122="Not Reported","@ForceFilingCode:false",""))</f>
        <v/>
      </c>
    </row>
    <row r="123" spans="2:5" hidden="1">
      <c r="B123" s="37" t="s">
        <v>692</v>
      </c>
      <c r="C123" s="38" t="s">
        <v>687</v>
      </c>
      <c r="D123" s="39"/>
      <c r="E123" t="str">
        <f>IF($D$123="Reported","@ForceFilingCode:true",IF($D$123="Not Reported","@ForceFilingCode:false",""))</f>
        <v/>
      </c>
    </row>
    <row r="124" spans="2:5" hidden="1">
      <c r="B124" s="37" t="s">
        <v>693</v>
      </c>
      <c r="C124" s="38" t="s">
        <v>689</v>
      </c>
      <c r="D124" s="39"/>
      <c r="E124" t="str">
        <f>IF($D$124="Reported","@ForceFilingCode:true",IF($D$124="Not Reported","@ForceFilingCode:false",""))</f>
        <v/>
      </c>
    </row>
    <row r="125" spans="2:5" hidden="1">
      <c r="B125" s="37" t="s">
        <v>694</v>
      </c>
      <c r="C125" s="38" t="s">
        <v>695</v>
      </c>
      <c r="D125" s="39"/>
      <c r="E125" t="str">
        <f>IF($D$125="Reported","@ForceFilingCode:true",IF($D$125="Not Reported","@ForceFilingCode:false",""))</f>
        <v/>
      </c>
    </row>
    <row r="126" spans="2:5" hidden="1">
      <c r="B126" s="37" t="s">
        <v>696</v>
      </c>
      <c r="C126" s="38" t="s">
        <v>697</v>
      </c>
      <c r="D126" s="39"/>
      <c r="E126" t="str">
        <f>IF($D$126="Reported","@ForceFilingCode:true",IF($D$126="Not Reported","@ForceFilingCode:false",""))</f>
        <v/>
      </c>
    </row>
    <row r="127" spans="2:5">
      <c r="B127" s="37" t="s">
        <v>698</v>
      </c>
      <c r="C127" s="38" t="s">
        <v>695</v>
      </c>
      <c r="D127" s="39" t="s">
        <v>6108</v>
      </c>
      <c r="E127" t="str">
        <f>IF($D$127="Reported","@ForceFilingCode:true",IF($D$127="Not Reported","@ForceFilingCode:false",""))</f>
        <v>@ForceFilingCode:false</v>
      </c>
    </row>
    <row r="128" spans="2:5" hidden="1">
      <c r="B128" s="37" t="s">
        <v>699</v>
      </c>
      <c r="C128" s="38" t="s">
        <v>697</v>
      </c>
      <c r="D128" s="39"/>
      <c r="E128" t="str">
        <f>IF($D$128="Reported","@ForceFilingCode:true",IF($D$128="Not Reported","@ForceFilingCode:false",""))</f>
        <v/>
      </c>
    </row>
    <row r="129" spans="2:5" hidden="1">
      <c r="B129" s="37" t="s">
        <v>700</v>
      </c>
      <c r="C129" s="38" t="s">
        <v>695</v>
      </c>
      <c r="D129" s="39"/>
      <c r="E129" t="str">
        <f>IF($D$129="Reported","@ForceFilingCode:true",IF($D$129="Not Reported","@ForceFilingCode:false",""))</f>
        <v/>
      </c>
    </row>
    <row r="130" spans="2:5" hidden="1">
      <c r="B130" s="37" t="s">
        <v>701</v>
      </c>
      <c r="C130" s="38" t="s">
        <v>697</v>
      </c>
      <c r="D130" s="39"/>
      <c r="E130" t="str">
        <f>IF($D$130="Reported","@ForceFilingCode:true",IF($D$130="Not Reported","@ForceFilingCode:false",""))</f>
        <v/>
      </c>
    </row>
    <row r="131" spans="2:5" hidden="1">
      <c r="B131" s="37" t="s">
        <v>702</v>
      </c>
      <c r="C131" s="38" t="s">
        <v>703</v>
      </c>
      <c r="D131" s="39"/>
      <c r="E131" t="str">
        <f>IF($D$131="Reported","@ForceFilingCode:true",IF($D$131="Not Reported","@ForceFilingCode:false",""))</f>
        <v/>
      </c>
    </row>
    <row r="132" spans="2:5" hidden="1">
      <c r="B132" s="37" t="s">
        <v>704</v>
      </c>
      <c r="C132" s="38" t="s">
        <v>705</v>
      </c>
      <c r="D132" s="39"/>
      <c r="E132" t="str">
        <f>IF($D$132="Reported","@ForceFilingCode:true",IF($D$132="Not Reported","@ForceFilingCode:false",""))</f>
        <v/>
      </c>
    </row>
    <row r="133" spans="2:5">
      <c r="B133" s="37" t="s">
        <v>706</v>
      </c>
      <c r="C133" s="38" t="s">
        <v>703</v>
      </c>
      <c r="D133" s="39" t="s">
        <v>6108</v>
      </c>
      <c r="E133" t="str">
        <f>IF($D$133="Reported","@ForceFilingCode:true",IF($D$133="Not Reported","@ForceFilingCode:false",""))</f>
        <v>@ForceFilingCode:false</v>
      </c>
    </row>
    <row r="134" spans="2:5" hidden="1">
      <c r="B134" s="37" t="s">
        <v>707</v>
      </c>
      <c r="C134" s="38" t="s">
        <v>705</v>
      </c>
      <c r="D134" s="39"/>
      <c r="E134" t="str">
        <f>IF($D$134="Reported","@ForceFilingCode:true",IF($D$134="Not Reported","@ForceFilingCode:false",""))</f>
        <v/>
      </c>
    </row>
    <row r="135" spans="2:5" hidden="1">
      <c r="B135" s="37" t="s">
        <v>708</v>
      </c>
      <c r="C135" s="38" t="s">
        <v>703</v>
      </c>
      <c r="D135" s="39"/>
      <c r="E135" t="str">
        <f>IF($D$135="Reported","@ForceFilingCode:true",IF($D$135="Not Reported","@ForceFilingCode:false",""))</f>
        <v/>
      </c>
    </row>
    <row r="136" spans="2:5" hidden="1">
      <c r="B136" s="37" t="s">
        <v>709</v>
      </c>
      <c r="C136" s="38" t="s">
        <v>705</v>
      </c>
      <c r="D136" s="39"/>
      <c r="E136" t="str">
        <f>IF($D$136="Reported","@ForceFilingCode:true",IF($D$136="Not Reported","@ForceFilingCode:false",""))</f>
        <v/>
      </c>
    </row>
    <row r="137" spans="2:5" hidden="1">
      <c r="B137" s="37" t="s">
        <v>710</v>
      </c>
      <c r="C137" s="38" t="s">
        <v>711</v>
      </c>
      <c r="D137" s="39"/>
      <c r="E137" t="str">
        <f>IF($D$137="Reported","@ForceFilingCode:true",IF($D$137="Not Reported","@ForceFilingCode:false",""))</f>
        <v/>
      </c>
    </row>
    <row r="138" spans="2:5" hidden="1">
      <c r="B138" s="37" t="s">
        <v>712</v>
      </c>
      <c r="C138" s="38" t="s">
        <v>711</v>
      </c>
      <c r="D138" s="39"/>
      <c r="E138" t="str">
        <f>IF($D$138="Reported","@ForceFilingCode:true",IF($D$138="Not Reported","@ForceFilingCode:false",""))</f>
        <v/>
      </c>
    </row>
    <row r="139" spans="2:5" hidden="1">
      <c r="B139" s="37" t="s">
        <v>713</v>
      </c>
      <c r="C139" s="38" t="s">
        <v>714</v>
      </c>
      <c r="D139" s="39"/>
      <c r="E139" t="str">
        <f>IF($D$139="Reported","@ForceFilingCode:true",IF($D$139="Not Reported","@ForceFilingCode:false",""))</f>
        <v/>
      </c>
    </row>
    <row r="140" spans="2:5" hidden="1">
      <c r="B140" s="37" t="s">
        <v>715</v>
      </c>
      <c r="C140" s="38" t="s">
        <v>714</v>
      </c>
      <c r="D140" s="39"/>
      <c r="E140" t="str">
        <f>IF($D$140="Reported","@ForceFilingCode:true",IF($D$140="Not Reported","@ForceFilingCode:false",""))</f>
        <v/>
      </c>
    </row>
    <row r="141" spans="2:5" hidden="1">
      <c r="B141" s="37" t="s">
        <v>716</v>
      </c>
      <c r="C141" s="38" t="s">
        <v>714</v>
      </c>
      <c r="D141" s="39"/>
      <c r="E141" t="str">
        <f>IF($D$141="Reported","@ForceFilingCode:true",IF($D$141="Not Reported","@ForceFilingCode:false",""))</f>
        <v/>
      </c>
    </row>
    <row r="142" spans="2:5" hidden="1">
      <c r="B142" s="37" t="s">
        <v>717</v>
      </c>
      <c r="C142" s="38" t="s">
        <v>718</v>
      </c>
      <c r="D142" s="39"/>
      <c r="E142" t="str">
        <f>IF($D$142="Reported","@ForceFilingCode:true",IF($D$142="Not Reported","@ForceFilingCode:false",""))</f>
        <v/>
      </c>
    </row>
    <row r="143" spans="2:5" hidden="1">
      <c r="B143" s="37" t="s">
        <v>719</v>
      </c>
      <c r="C143" s="38" t="s">
        <v>718</v>
      </c>
      <c r="D143" s="39"/>
      <c r="E143" t="str">
        <f>IF($D$143="Reported","@ForceFilingCode:true",IF($D$143="Not Reported","@ForceFilingCode:false",""))</f>
        <v/>
      </c>
    </row>
    <row r="144" spans="2:5" hidden="1">
      <c r="B144" s="37" t="s">
        <v>720</v>
      </c>
      <c r="C144" s="38" t="s">
        <v>718</v>
      </c>
      <c r="D144" s="39"/>
      <c r="E144" t="str">
        <f>IF($D$144="Reported","@ForceFilingCode:true",IF($D$144="Not Reported","@ForceFilingCode:false",""))</f>
        <v/>
      </c>
    </row>
    <row r="145" spans="2:5" hidden="1">
      <c r="B145" s="37" t="s">
        <v>721</v>
      </c>
      <c r="C145" s="38" t="s">
        <v>722</v>
      </c>
      <c r="D145" s="39"/>
      <c r="E145" t="str">
        <f>IF($D$145="Reported","@ForceFilingCode:true",IF($D$145="Not Reported","@ForceFilingCode:false",""))</f>
        <v/>
      </c>
    </row>
    <row r="146" spans="2:5" hidden="1">
      <c r="B146" s="37" t="s">
        <v>723</v>
      </c>
      <c r="C146" s="38" t="s">
        <v>722</v>
      </c>
      <c r="D146" s="39"/>
      <c r="E146" t="str">
        <f>IF($D$146="Reported","@ForceFilingCode:true",IF($D$146="Not Reported","@ForceFilingCode:false",""))</f>
        <v/>
      </c>
    </row>
    <row r="147" spans="2:5" hidden="1">
      <c r="B147" s="37" t="s">
        <v>724</v>
      </c>
      <c r="C147" s="38" t="s">
        <v>722</v>
      </c>
      <c r="D147" s="39"/>
      <c r="E147" t="str">
        <f>IF($D$147="Reported","@ForceFilingCode:true",IF($D$147="Not Reported","@ForceFilingCode:false",""))</f>
        <v/>
      </c>
    </row>
    <row r="148" spans="2:5" hidden="1">
      <c r="B148" s="37" t="s">
        <v>725</v>
      </c>
      <c r="C148" s="38" t="s">
        <v>726</v>
      </c>
      <c r="D148" s="39"/>
      <c r="E148" t="str">
        <f>IF($D$148="Reported","@ForceFilingCode:true",IF($D$148="Not Reported","@ForceFilingCode:false",""))</f>
        <v/>
      </c>
    </row>
    <row r="149" spans="2:5" hidden="1">
      <c r="B149" s="37" t="s">
        <v>727</v>
      </c>
      <c r="C149" s="38" t="s">
        <v>726</v>
      </c>
      <c r="D149" s="39"/>
      <c r="E149" t="str">
        <f>IF($D$149="Reported","@ForceFilingCode:true",IF($D$149="Not Reported","@ForceFilingCode:false",""))</f>
        <v/>
      </c>
    </row>
    <row r="150" spans="2:5" hidden="1">
      <c r="B150" s="37" t="s">
        <v>728</v>
      </c>
      <c r="C150" s="38" t="s">
        <v>726</v>
      </c>
      <c r="D150" s="39"/>
      <c r="E150" t="str">
        <f>IF($D$150="Reported","@ForceFilingCode:true",IF($D$150="Not Reported","@ForceFilingCode:false",""))</f>
        <v/>
      </c>
    </row>
    <row r="151" spans="2:5" hidden="1">
      <c r="B151" s="37" t="s">
        <v>729</v>
      </c>
      <c r="C151" s="38" t="s">
        <v>730</v>
      </c>
      <c r="D151" s="39"/>
      <c r="E151" t="str">
        <f>IF($D$151="Reported","@ForceFilingCode:true",IF($D$151="Not Reported","@ForceFilingCode:false",""))</f>
        <v/>
      </c>
    </row>
    <row r="152" spans="2:5" hidden="1">
      <c r="B152" s="37" t="s">
        <v>731</v>
      </c>
      <c r="C152" s="38" t="s">
        <v>730</v>
      </c>
      <c r="D152" s="39"/>
      <c r="E152" t="str">
        <f>IF($D$152="Reported","@ForceFilingCode:true",IF($D$152="Not Reported","@ForceFilingCode:false",""))</f>
        <v/>
      </c>
    </row>
    <row r="153" spans="2:5" hidden="1">
      <c r="B153" s="37" t="s">
        <v>732</v>
      </c>
      <c r="C153" s="38" t="s">
        <v>730</v>
      </c>
      <c r="D153" s="39"/>
      <c r="E153" t="str">
        <f>IF($D$153="Reported","@ForceFilingCode:true",IF($D$153="Not Reported","@ForceFilingCode:false",""))</f>
        <v/>
      </c>
    </row>
    <row r="154" spans="2:5" hidden="1">
      <c r="B154" s="37" t="s">
        <v>733</v>
      </c>
      <c r="C154" s="38" t="s">
        <v>734</v>
      </c>
      <c r="D154" s="39"/>
      <c r="E154" t="str">
        <f>IF($D$154="Reported","@ForceFilingCode:true",IF($D$154="Not Reported","@ForceFilingCode:false",""))</f>
        <v/>
      </c>
    </row>
    <row r="155" spans="2:5" hidden="1">
      <c r="B155" s="37" t="s">
        <v>735</v>
      </c>
      <c r="C155" s="38" t="s">
        <v>734</v>
      </c>
      <c r="D155" s="39"/>
      <c r="E155" t="str">
        <f>IF($D$155="Reported","@ForceFilingCode:true",IF($D$155="Not Reported","@ForceFilingCode:false",""))</f>
        <v/>
      </c>
    </row>
    <row r="156" spans="2:5" hidden="1">
      <c r="B156" s="37" t="s">
        <v>736</v>
      </c>
      <c r="C156" s="38" t="s">
        <v>734</v>
      </c>
      <c r="D156" s="39"/>
      <c r="E156" t="str">
        <f>IF($D$156="Reported","@ForceFilingCode:true",IF($D$156="Not Reported","@ForceFilingCode:false",""))</f>
        <v/>
      </c>
    </row>
    <row r="157" spans="2:5" hidden="1">
      <c r="B157" s="37" t="s">
        <v>737</v>
      </c>
      <c r="C157" s="38" t="s">
        <v>738</v>
      </c>
      <c r="D157" s="39"/>
      <c r="E157" t="str">
        <f>IF($D$157="Reported","@ForceFilingCode:true",IF($D$157="Not Reported","@ForceFilingCode:false",""))</f>
        <v/>
      </c>
    </row>
    <row r="158" spans="2:5" hidden="1">
      <c r="B158" s="37" t="s">
        <v>739</v>
      </c>
      <c r="C158" s="38" t="s">
        <v>738</v>
      </c>
      <c r="D158" s="39"/>
      <c r="E158" t="str">
        <f>IF($D$158="Reported","@ForceFilingCode:true",IF($D$158="Not Reported","@ForceFilingCode:false",""))</f>
        <v/>
      </c>
    </row>
    <row r="159" spans="2:5" hidden="1">
      <c r="B159" s="37" t="s">
        <v>740</v>
      </c>
      <c r="C159" s="38" t="s">
        <v>738</v>
      </c>
      <c r="D159" s="39"/>
      <c r="E159" t="str">
        <f>IF($D$159="Reported","@ForceFilingCode:true",IF($D$159="Not Reported","@ForceFilingCode:false",""))</f>
        <v/>
      </c>
    </row>
    <row r="160" spans="2:5" hidden="1">
      <c r="B160" s="37" t="s">
        <v>741</v>
      </c>
      <c r="C160" s="38" t="s">
        <v>742</v>
      </c>
      <c r="D160" s="39"/>
      <c r="E160" t="str">
        <f>IF($D$160="Reported","@ForceFilingCode:true",IF($D$160="Not Reported","@ForceFilingCode:false",""))</f>
        <v/>
      </c>
    </row>
    <row r="161" spans="2:5" hidden="1">
      <c r="B161" s="37" t="s">
        <v>743</v>
      </c>
      <c r="C161" s="38" t="s">
        <v>742</v>
      </c>
      <c r="D161" s="39"/>
      <c r="E161" t="str">
        <f>IF($D$161="Reported","@ForceFilingCode:true",IF($D$161="Not Reported","@ForceFilingCode:false",""))</f>
        <v/>
      </c>
    </row>
    <row r="162" spans="2:5" hidden="1">
      <c r="B162" s="37" t="s">
        <v>744</v>
      </c>
      <c r="C162" s="38" t="s">
        <v>742</v>
      </c>
      <c r="D162" s="39"/>
      <c r="E162" t="str">
        <f>IF($D$162="Reported","@ForceFilingCode:true",IF($D$162="Not Reported","@ForceFilingCode:false",""))</f>
        <v/>
      </c>
    </row>
    <row r="163" spans="2:5">
      <c r="B163" s="37" t="s">
        <v>745</v>
      </c>
      <c r="C163" s="38" t="s">
        <v>746</v>
      </c>
      <c r="D163" s="39" t="s">
        <v>817</v>
      </c>
      <c r="E163" t="str">
        <f>IF($D$163="Reported","@ForceFilingCode:true",IF($D$163="Not Reported","@ForceFilingCode:false",""))</f>
        <v>@ForceFilingCode:true</v>
      </c>
    </row>
    <row r="164" spans="2:5">
      <c r="B164" s="37" t="s">
        <v>747</v>
      </c>
      <c r="C164" s="38" t="s">
        <v>748</v>
      </c>
      <c r="D164" s="39" t="s">
        <v>6108</v>
      </c>
      <c r="E164" t="str">
        <f>IF($D$164="Reported","@ForceFilingCode:true",IF($D$164="Not Reported","@ForceFilingCode:false",""))</f>
        <v>@ForceFilingCode:false</v>
      </c>
    </row>
    <row r="165" spans="2:5" hidden="1">
      <c r="B165" s="37" t="s">
        <v>749</v>
      </c>
      <c r="C165" s="38" t="s">
        <v>750</v>
      </c>
      <c r="D165" s="39"/>
      <c r="E165" t="str">
        <f>IF($D$165="Reported","@ForceFilingCode:true",IF($D$165="Not Reported","@ForceFilingCode:false",""))</f>
        <v/>
      </c>
    </row>
    <row r="166" spans="2:5" hidden="1">
      <c r="B166" s="37" t="s">
        <v>751</v>
      </c>
      <c r="C166" s="38" t="s">
        <v>752</v>
      </c>
      <c r="D166" s="39"/>
      <c r="E166" t="str">
        <f>IF($D$166="Reported","@ForceFilingCode:true",IF($D$166="Not Reported","@ForceFilingCode:false",""))</f>
        <v/>
      </c>
    </row>
    <row r="167" spans="2:5" hidden="1">
      <c r="B167" s="37" t="s">
        <v>753</v>
      </c>
      <c r="C167" s="38" t="s">
        <v>754</v>
      </c>
      <c r="D167" s="39"/>
      <c r="E167" t="str">
        <f>IF($D$167="Reported","@ForceFilingCode:true",IF($D$167="Not Reported","@ForceFilingCode:false",""))</f>
        <v/>
      </c>
    </row>
    <row r="168" spans="2:5" hidden="1">
      <c r="B168" s="37" t="s">
        <v>755</v>
      </c>
      <c r="C168" s="38" t="s">
        <v>756</v>
      </c>
      <c r="D168" s="39"/>
      <c r="E168" t="str">
        <f>IF($D$168="Reported","@ForceFilingCode:true",IF($D$168="Not Reported","@ForceFilingCode:false",""))</f>
        <v/>
      </c>
    </row>
    <row r="169" spans="2:5" hidden="1">
      <c r="B169" s="37" t="s">
        <v>757</v>
      </c>
      <c r="C169" s="38" t="s">
        <v>758</v>
      </c>
      <c r="D169" s="39"/>
      <c r="E169" t="str">
        <f>IF($D$169="Reported","@ForceFilingCode:true",IF($D$169="Not Reported","@ForceFilingCode:false",""))</f>
        <v/>
      </c>
    </row>
    <row r="170" spans="2:5" hidden="1">
      <c r="B170" s="37" t="s">
        <v>759</v>
      </c>
      <c r="C170" s="38" t="s">
        <v>760</v>
      </c>
      <c r="D170" s="39"/>
      <c r="E170" t="str">
        <f>IF($D$170="Reported","@ForceFilingCode:true",IF($D$170="Not Reported","@ForceFilingCode:false",""))</f>
        <v/>
      </c>
    </row>
    <row r="171" spans="2:5" hidden="1">
      <c r="B171" s="37" t="s">
        <v>761</v>
      </c>
      <c r="C171" s="38" t="s">
        <v>762</v>
      </c>
      <c r="D171" s="39"/>
      <c r="E171" t="str">
        <f>IF($D$171="Reported","@ForceFilingCode:true",IF($D$171="Not Reported","@ForceFilingCode:false",""))</f>
        <v/>
      </c>
    </row>
    <row r="172" spans="2:5" hidden="1">
      <c r="B172" s="37" t="s">
        <v>763</v>
      </c>
      <c r="C172" s="38" t="s">
        <v>764</v>
      </c>
      <c r="D172" s="39"/>
      <c r="E172" t="str">
        <f>IF($D$172="Reported","@ForceFilingCode:true",IF($D$172="Not Reported","@ForceFilingCode:false",""))</f>
        <v/>
      </c>
    </row>
    <row r="173" spans="2:5" hidden="1">
      <c r="B173" s="37" t="s">
        <v>765</v>
      </c>
      <c r="C173" s="38" t="s">
        <v>766</v>
      </c>
      <c r="D173" s="39"/>
      <c r="E173" t="str">
        <f>IF($D$173="Reported","@ForceFilingCode:true",IF($D$173="Not Reported","@ForceFilingCode:false",""))</f>
        <v/>
      </c>
    </row>
    <row r="174" spans="2:5" hidden="1">
      <c r="B174" s="37" t="s">
        <v>767</v>
      </c>
      <c r="C174" s="38" t="s">
        <v>768</v>
      </c>
      <c r="D174" s="39"/>
      <c r="E174" t="str">
        <f>IF($D$174="Reported","@ForceFilingCode:true",IF($D$174="Not Reported","@ForceFilingCode:false",""))</f>
        <v/>
      </c>
    </row>
    <row r="175" spans="2:5" hidden="1">
      <c r="B175" s="37" t="s">
        <v>769</v>
      </c>
      <c r="C175" s="38" t="s">
        <v>768</v>
      </c>
      <c r="D175" s="39"/>
      <c r="E175" t="str">
        <f>IF($D$175="Reported","@ForceFilingCode:true",IF($D$175="Not Reported","@ForceFilingCode:false",""))</f>
        <v/>
      </c>
    </row>
    <row r="176" spans="2:5" hidden="1">
      <c r="B176" s="37" t="s">
        <v>770</v>
      </c>
      <c r="C176" s="38" t="s">
        <v>771</v>
      </c>
      <c r="D176" s="39"/>
      <c r="E176" t="str">
        <f>IF($D$176="Reported","@ForceFilingCode:true",IF($D$176="Not Reported","@ForceFilingCode:false",""))</f>
        <v/>
      </c>
    </row>
    <row r="177" spans="2:5" hidden="1">
      <c r="B177" s="37" t="s">
        <v>772</v>
      </c>
      <c r="C177" s="38" t="s">
        <v>771</v>
      </c>
      <c r="D177" s="39"/>
      <c r="E177" t="str">
        <f>IF($D$177="Reported","@ForceFilingCode:true",IF($D$177="Not Reported","@ForceFilingCode:false",""))</f>
        <v/>
      </c>
    </row>
    <row r="178" spans="2:5" hidden="1">
      <c r="B178" s="37" t="s">
        <v>773</v>
      </c>
      <c r="C178" s="38" t="s">
        <v>774</v>
      </c>
      <c r="D178" s="39"/>
      <c r="E178" t="str">
        <f>IF($D$178="Reported","@ForceFilingCode:true",IF($D$178="Not Reported","@ForceFilingCode:false",""))</f>
        <v/>
      </c>
    </row>
    <row r="179" spans="2:5" hidden="1">
      <c r="B179" s="37" t="s">
        <v>775</v>
      </c>
      <c r="C179" s="38" t="s">
        <v>774</v>
      </c>
      <c r="D179" s="39"/>
      <c r="E179" t="str">
        <f>IF($D$179="Reported","@ForceFilingCode:true",IF($D$179="Not Reported","@ForceFilingCode:false",""))</f>
        <v/>
      </c>
    </row>
    <row r="180" spans="2:5" hidden="1">
      <c r="B180" s="37" t="s">
        <v>776</v>
      </c>
      <c r="C180" s="38" t="s">
        <v>777</v>
      </c>
      <c r="D180" s="39"/>
      <c r="E180" t="str">
        <f>IF($D$180="Reported","@ForceFilingCode:true",IF($D$180="Not Reported","@ForceFilingCode:false",""))</f>
        <v/>
      </c>
    </row>
    <row r="181" spans="2:5" ht="30" hidden="1">
      <c r="B181" s="37" t="s">
        <v>778</v>
      </c>
      <c r="C181" s="38" t="s">
        <v>779</v>
      </c>
      <c r="D181" s="39"/>
      <c r="E181" t="str">
        <f>IF($D$181="Reported","@ForceFilingCode:true",IF($D$181="Not Reported","@ForceFilingCode:false",""))</f>
        <v/>
      </c>
    </row>
    <row r="182" spans="2:5" hidden="1">
      <c r="B182" s="37" t="s">
        <v>780</v>
      </c>
      <c r="C182" s="38" t="s">
        <v>781</v>
      </c>
      <c r="D182" s="39"/>
      <c r="E182" t="str">
        <f>IF($D$182="Reported","@ForceFilingCode:true",IF($D$182="Not Reported","@ForceFilingCode:false",""))</f>
        <v/>
      </c>
    </row>
    <row r="183" spans="2:5" hidden="1">
      <c r="B183" s="37" t="s">
        <v>782</v>
      </c>
      <c r="C183" s="38" t="s">
        <v>783</v>
      </c>
      <c r="D183" s="39"/>
      <c r="E183" t="str">
        <f>IF($D$183="Reported","@ForceFilingCode:true",IF($D$183="Not Reported","@ForceFilingCode:false",""))</f>
        <v/>
      </c>
    </row>
    <row r="184" spans="2:5" hidden="1">
      <c r="B184" s="37" t="s">
        <v>784</v>
      </c>
      <c r="C184" s="38" t="s">
        <v>785</v>
      </c>
      <c r="D184" s="39"/>
      <c r="E184" t="str">
        <f>IF($D$184="Reported","@ForceFilingCode:true",IF($D$184="Not Reported","@ForceFilingCode:false",""))</f>
        <v/>
      </c>
    </row>
    <row r="185" spans="2:5" hidden="1">
      <c r="B185" s="37" t="s">
        <v>786</v>
      </c>
      <c r="C185" s="38" t="s">
        <v>787</v>
      </c>
      <c r="D185" s="39"/>
      <c r="E185" t="str">
        <f>IF($D$185="Reported","@ForceFilingCode:true",IF($D$185="Not Reported","@ForceFilingCode:false",""))</f>
        <v/>
      </c>
    </row>
    <row r="186" spans="2:5" hidden="1">
      <c r="B186" s="37" t="s">
        <v>788</v>
      </c>
      <c r="C186" s="38" t="s">
        <v>789</v>
      </c>
      <c r="D186" s="39"/>
      <c r="E186" t="str">
        <f>IF($D$186="Reported","@ForceFilingCode:true",IF($D$186="Not Reported","@ForceFilingCode:false",""))</f>
        <v/>
      </c>
    </row>
    <row r="187" spans="2:5" hidden="1">
      <c r="B187" s="37" t="s">
        <v>790</v>
      </c>
      <c r="C187" s="38" t="s">
        <v>791</v>
      </c>
      <c r="D187" s="39"/>
      <c r="E187" t="str">
        <f>IF($D$187="Reported","@ForceFilingCode:true",IF($D$187="Not Reported","@ForceFilingCode:false",""))</f>
        <v/>
      </c>
    </row>
    <row r="188" spans="2:5" hidden="1">
      <c r="B188" s="37" t="s">
        <v>792</v>
      </c>
      <c r="C188" s="38" t="s">
        <v>793</v>
      </c>
      <c r="D188" s="39"/>
      <c r="E188" t="str">
        <f>IF($D$188="Reported","@ForceFilingCode:true",IF($D$188="Not Reported","@ForceFilingCode:false",""))</f>
        <v/>
      </c>
    </row>
    <row r="189" spans="2:5" hidden="1">
      <c r="B189" s="37" t="s">
        <v>794</v>
      </c>
      <c r="C189" s="38" t="s">
        <v>795</v>
      </c>
      <c r="D189" s="39"/>
      <c r="E189" t="str">
        <f>IF($D$189="Reported","@ForceFilingCode:true",IF($D$189="Not Reported","@ForceFilingCode:false",""))</f>
        <v/>
      </c>
    </row>
    <row r="190" spans="2:5" hidden="1">
      <c r="B190" s="37" t="s">
        <v>796</v>
      </c>
      <c r="C190" s="38" t="s">
        <v>797</v>
      </c>
      <c r="D190" s="39"/>
      <c r="E190" t="str">
        <f>IF($D$190="Reported","@ForceFilingCode:true",IF($D$190="Not Reported","@ForceFilingCode:false",""))</f>
        <v/>
      </c>
    </row>
    <row r="191" spans="2:5" hidden="1">
      <c r="B191" s="37" t="s">
        <v>798</v>
      </c>
      <c r="C191" s="38" t="s">
        <v>799</v>
      </c>
      <c r="D191" s="39"/>
      <c r="E191" t="str">
        <f>IF($D$191="Reported","@ForceFilingCode:true",IF($D$191="Not Reported","@ForceFilingCode:false",""))</f>
        <v/>
      </c>
    </row>
    <row r="192" spans="2:5" hidden="1">
      <c r="B192" s="37" t="s">
        <v>800</v>
      </c>
      <c r="C192" s="38" t="s">
        <v>801</v>
      </c>
      <c r="D192" s="39"/>
      <c r="E192" t="str">
        <f>IF($D$192="Reported","@ForceFilingCode:true",IF($D$192="Not Reported","@ForceFilingCode:false",""))</f>
        <v/>
      </c>
    </row>
    <row r="193" spans="2:5" hidden="1">
      <c r="B193" s="37" t="s">
        <v>802</v>
      </c>
      <c r="C193" s="38" t="s">
        <v>803</v>
      </c>
      <c r="D193" s="39"/>
      <c r="E193" t="str">
        <f>IF($D$193="Reported","@ForceFilingCode:true",IF($D$193="Not Reported","@ForceFilingCode:false",""))</f>
        <v/>
      </c>
    </row>
    <row r="194" spans="2:5" hidden="1">
      <c r="B194" s="37" t="s">
        <v>804</v>
      </c>
      <c r="C194" s="38" t="s">
        <v>803</v>
      </c>
      <c r="D194" s="39"/>
      <c r="E194" t="str">
        <f>IF($D$194="Reported","@ForceFilingCode:true",IF($D$194="Not Reported","@ForceFilingCode:false",""))</f>
        <v/>
      </c>
    </row>
    <row r="195" spans="2:5" hidden="1">
      <c r="B195" s="37" t="s">
        <v>805</v>
      </c>
      <c r="C195" s="38" t="s">
        <v>512</v>
      </c>
      <c r="D195" s="39"/>
      <c r="E195" t="str">
        <f>IF($D$195="Reported","@ForceFilingCode:true",IF($D$195="Not Reported","@ForceFilingCode:false",""))</f>
        <v/>
      </c>
    </row>
    <row r="196" spans="2:5" hidden="1">
      <c r="B196" s="37" t="s">
        <v>806</v>
      </c>
      <c r="C196" s="38" t="s">
        <v>807</v>
      </c>
      <c r="D196" s="39"/>
      <c r="E196" t="str">
        <f>IF($D$196="Reported","@ForceFilingCode:true",IF($D$196="Not Reported","@ForceFilingCode:false",""))</f>
        <v/>
      </c>
    </row>
    <row r="197" spans="2:5" hidden="1">
      <c r="B197" s="37" t="s">
        <v>808</v>
      </c>
      <c r="C197" s="38" t="s">
        <v>544</v>
      </c>
      <c r="D197" s="39"/>
      <c r="E197" t="str">
        <f>IF($D$197="Reported","@ForceFilingCode:true",IF($D$197="Not Reported","@ForceFilingCode:false",""))</f>
        <v/>
      </c>
    </row>
    <row r="198" spans="2:5" hidden="1">
      <c r="B198" s="37" t="s">
        <v>809</v>
      </c>
      <c r="C198" s="38" t="s">
        <v>810</v>
      </c>
      <c r="D198" s="39"/>
      <c r="E198" t="str">
        <f>IF($D$198="Reported","@ForceFilingCode:true",IF($D$198="Not Reported","@ForceFilingCode:false",""))</f>
        <v/>
      </c>
    </row>
    <row r="199" spans="2:5" hidden="1">
      <c r="B199" s="37" t="s">
        <v>811</v>
      </c>
      <c r="C199" s="38" t="s">
        <v>812</v>
      </c>
      <c r="D199" s="39"/>
      <c r="E199" t="str">
        <f>IF($D$199="Reported","@ForceFilingCode:true",IF($D$199="Not Reported","@ForceFilingCode:false",""))</f>
        <v/>
      </c>
    </row>
    <row r="200" spans="2:5" hidden="1">
      <c r="B200" s="37" t="s">
        <v>813</v>
      </c>
      <c r="C200" s="38" t="s">
        <v>812</v>
      </c>
      <c r="D200" s="39"/>
      <c r="E200" t="str">
        <f>IF($D$200="Reported","@ForceFilingCode:true",IF($D$200="Not Reported","@ForceFilingCode:false",""))</f>
        <v/>
      </c>
    </row>
    <row r="201" spans="2:5" hidden="1">
      <c r="B201" s="37" t="s">
        <v>814</v>
      </c>
      <c r="C201" s="38" t="s">
        <v>815</v>
      </c>
      <c r="D201" s="39"/>
      <c r="E201" t="str">
        <f>IF($D$201="Reported","@ForceFilingCode:true",IF($D$201="Not Reported","@ForceFilingCode:false",""))</f>
        <v/>
      </c>
    </row>
    <row r="202" spans="2:5">
      <c r="B202" s="35"/>
      <c r="C202" s="35"/>
      <c r="D202" s="35"/>
    </row>
  </sheetData>
  <sheetProtection sheet="1" objects="1" scenarios="1"/>
  <mergeCells count="1">
    <mergeCell ref="B3:O3"/>
  </mergeCells>
  <dataValidations count="1">
    <dataValidation type="list" allowBlank="1" showInputMessage="1" showErrorMessage="1" sqref="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D102 D103 D104 D105 D106 D107 D108 D109 D110 D111 D112 D113 D114 D115 D116 D117 D118 D119 D120 D121 D122 D123 D124 D125 D126 D127 D128 D129 D130 D131 D132 D133 D134 D135 D136 D137 D138 D139 D140 D141 D142 D143 D144 D145 D146 D147 D148 D149 D150 D151 D152 D153 D154 D155 D156 D157 D158 D159 D160 D161 D162 D163 D164 D165 D166 D167 D168 D169 D170 D171 D172 D173 D174 D175 D176 D177 D178 D179 D180 D181 D182 D183 D184 D185 D186 D187 D188 D189 D190 D191 D192 D193 D194 D195 D196 D197 D198 D199 D200 D201" xr:uid="{7FAF5F3E-30C8-4DC3-9172-496A1098BCDC}">
      <formula1>"Reported,Not Reported"</formula1>
    </dataValidation>
  </dataValidations>
  <hyperlinks>
    <hyperlink ref="B6" location="'S.01.01.01'!A1" display="S.01.01.01" xr:uid="{85964589-8C14-452F-948F-D36F7CF90AAC}"/>
    <hyperlink ref="B7" location="'S.01.01.02'!A1" display="S.01.01.02" xr:uid="{B7F57092-2855-427D-93A2-63A8A7D8540D}"/>
    <hyperlink ref="B8" location="'S.01.01.04'!A1" display="S.01.01.04" xr:uid="{E8B0543B-2279-4EBF-AAEC-31D12B58AF75}"/>
    <hyperlink ref="B9" location="'S.01.01.05'!A1" display="S.01.01.05" xr:uid="{2F738AAF-9319-4EB9-A478-565DB3ED2D04}"/>
    <hyperlink ref="B10" location="'S.01.01.07'!A1" display="S.01.01.07" xr:uid="{AD2280DF-75E4-4849-98F9-4230610A694C}"/>
    <hyperlink ref="B11" location="'S.01.01.08'!A1" display="S.01.01.08" xr:uid="{119DEB17-7697-4206-AA02-899002F138A4}"/>
    <hyperlink ref="B12" location="'S.01.01.10'!A1" display="S.01.01.10" xr:uid="{559B458B-DED8-4B77-A7E6-1369B578418B}"/>
    <hyperlink ref="B13" location="'S.01.01.11'!A1" display="S.01.01.11" xr:uid="{2C6A04AB-B815-4CE7-B882-832BE4649726}"/>
    <hyperlink ref="B14" location="'S.01.01.12'!A1" display="S.01.01.12" xr:uid="{E6AD41A2-5C02-4FB6-9FD3-3252C078795A}"/>
    <hyperlink ref="B15" location="'S.01.01.13'!A1" display="S.01.01.13" xr:uid="{C564615D-6FDF-4D41-BC45-29D3762C64E0}"/>
    <hyperlink ref="B16" location="'S.01.01.14'!A1" display="S.01.01.14" xr:uid="{40953A58-C563-459E-BA8F-5E1F4D79B5DC}"/>
    <hyperlink ref="B17" location="'S.01.01.15'!A1" display="S.01.01.15" xr:uid="{D37CBCA7-2C48-44CD-8167-C03E6A439F8F}"/>
    <hyperlink ref="B18" location="'SR.01.01.01'!A1" display="SR.01.01.01" xr:uid="{4B3FF5FA-B5F3-4236-B202-CF1DD5B16D4D}"/>
    <hyperlink ref="B19" location="'SR.01.01.04'!A1" display="SR.01.01.04" xr:uid="{5C608442-BF97-4705-91DE-D4D49BF26A75}"/>
    <hyperlink ref="B20" location="'SR.01.01.07'!A1" display="SR.01.01.07" xr:uid="{A499D1EB-43BF-4A8A-8218-9E589C6F9DC2}"/>
    <hyperlink ref="B21" location="'SE.01.01.16'!A1" display="SE.01.01.16" xr:uid="{59D85483-1AE4-4BFB-B380-6D15A6FCBAFF}"/>
    <hyperlink ref="B22" location="'SE.01.01.17'!A1" display="SE.01.01.17" xr:uid="{F7334630-0925-440A-A673-70A1D161379A}"/>
    <hyperlink ref="B23" location="'SE.01.01.18'!A1" display="SE.01.01.18" xr:uid="{86131FE1-83DA-4082-A609-C97314EC3F04}"/>
    <hyperlink ref="B24" location="'SE.01.01.19'!A1" display="SE.01.01.19" xr:uid="{2C9D5F94-006C-4AE4-85E8-02C6495F93A6}"/>
    <hyperlink ref="B25" location="'S.01.02.01'!A1" display="S.01.02.01" xr:uid="{DAB660FF-7F60-458A-AD4B-FA0592D6FD86}"/>
    <hyperlink ref="B26" location="'S.01.02.04'!A1" display="S.01.02.04" xr:uid="{E176B02C-D420-4AFF-827A-1381BE4C7F8E}"/>
    <hyperlink ref="B27" location="'S.01.02.07'!A1" display="S.01.02.07" xr:uid="{FB9014A4-B418-4E39-9D32-5FB49C936851}"/>
    <hyperlink ref="B28" location="'S.01.03.01'!A1" display="S.01.03.01" xr:uid="{500974D5-B870-4B6D-B377-395513E1B4A6}"/>
    <hyperlink ref="B29" location="'S.01.03.04'!A1" display="S.01.03.04" xr:uid="{D7414426-F936-4C19-958A-7504456C1FAD}"/>
    <hyperlink ref="B30" location="'S.02.01.01'!A1" display="S.02.01.01" xr:uid="{7E0B600F-828E-4E29-92A7-C0F2859E27C5}"/>
    <hyperlink ref="B31" location="'S.02.01.02'!A1" display="S.02.01.02" xr:uid="{B1567AB8-6524-494E-B9ED-FCBC344C9039}"/>
    <hyperlink ref="B32" location="'S.02.01.07'!A1" display="S.02.01.07" xr:uid="{B0CC212A-5734-4C4A-A592-0852699A1726}"/>
    <hyperlink ref="B33" location="'S.02.01.08'!A1" display="S.02.01.08" xr:uid="{DB3ACA1F-289D-4B4A-8710-EC4DC2B7828D}"/>
    <hyperlink ref="B34" location="'SR.02.01.01'!A1" display="SR.02.01.01" xr:uid="{98669F56-24BF-4CD0-86CF-C0FDAF6ACCEC}"/>
    <hyperlink ref="B35" location="'SR.02.01.07'!A1" display="SR.02.01.07" xr:uid="{14C24606-874F-45CE-89C3-66026FF56440}"/>
    <hyperlink ref="B36" location="'SE.02.01.16'!A1" display="SE.02.01.16" xr:uid="{9A9F7FA5-4ED2-4091-8C5A-E8CD9D18BFE8}"/>
    <hyperlink ref="B37" location="'SE.02.01.17'!A1" display="SE.02.01.17" xr:uid="{B8DDCA86-35F5-4CC4-A6B3-AA90BC9991D8}"/>
    <hyperlink ref="B38" location="'SE.02.01.18'!A1" display="SE.02.01.18" xr:uid="{AC4AE5EF-5B16-4D7A-A834-44B7AFE4B320}"/>
    <hyperlink ref="B39" location="'SE.02.01.19'!A1" display="SE.02.01.19" xr:uid="{30A6AA78-E706-45D1-9C39-8788D05125C0}"/>
    <hyperlink ref="B40" location="'S.02.02.01'!A1" display="S.02.02.01" xr:uid="{7924BF24-B546-4B03-A53E-1CB2EE4F256F}"/>
    <hyperlink ref="B41" location="'S.02.03.07'!A1" display="S.02.03.07" xr:uid="{5BF8FE43-4EEA-47F0-A27E-06EBE3CE437E}"/>
    <hyperlink ref="B42" location="'S.03.01.01'!A1" display="S.03.01.01" xr:uid="{16E59C1B-5FE1-49D0-98D6-71C0FD528D59}"/>
    <hyperlink ref="B43" location="'S.03.01.04'!A1" display="S.03.01.04" xr:uid="{776AF287-045C-4A8C-9F9A-608E66773197}"/>
    <hyperlink ref="B44" location="'S.03.02.01'!A1" display="S.03.02.01" xr:uid="{97341957-18A8-4830-9B33-F33AA9823476}"/>
    <hyperlink ref="B45" location="'S.03.02.04'!A1" display="S.03.02.04" xr:uid="{EBCD3F9E-9CA9-41E4-9D84-26A9593A3D21}"/>
    <hyperlink ref="B46" location="'S.03.03.01'!A1" display="S.03.03.01" xr:uid="{F9EDC2B1-65C9-4401-B123-3437ECBF8803}"/>
    <hyperlink ref="B47" location="'S.03.03.04'!A1" display="S.03.03.04" xr:uid="{69B0DEF2-BF40-432B-90B6-7FA7BA6A659B}"/>
    <hyperlink ref="B48" location="'S.04.01.01'!A1" display="S.04.01.01" xr:uid="{7BC151EC-45BE-4E87-A89D-B57D7D0877F7}"/>
    <hyperlink ref="B49" location="'S.04.02.01'!A1" display="S.04.02.01" xr:uid="{0E0E4029-DACF-465C-9DA1-C46504D4F191}"/>
    <hyperlink ref="B50" location="'S.05.01.01'!A1" display="S.05.01.01" xr:uid="{1CC55FF0-0F82-4B8C-8F31-D93228E2D435}"/>
    <hyperlink ref="B51" location="'S.05.01.02'!A1" display="S.05.01.02" xr:uid="{6D285749-4072-479A-96A3-A0B457E877F8}"/>
    <hyperlink ref="B52" location="'S.05.01.13'!A1" display="S.05.01.13" xr:uid="{5C1ADD02-989A-490D-B7B8-2F67FDE3E18F}"/>
    <hyperlink ref="B53" location="'S.05.02.01'!A1" display="S.05.02.01" xr:uid="{B2FB4246-EBEA-482C-9B30-3B2C53C248D7}"/>
    <hyperlink ref="B54" location="'S.06.01.01'!A1" display="S.06.01.01" xr:uid="{0F33ED6F-A3A3-4339-AAAB-8B84FD89B766}"/>
    <hyperlink ref="B55" location="'S.06.02.01'!A1" display="S.06.02.01" xr:uid="{A40047DD-34B7-4CC9-B55B-174FE9521308}"/>
    <hyperlink ref="B56" location="'S.06.02.04'!A1" display="S.06.02.04" xr:uid="{DB40B2CC-A63F-46A1-B319-1CE702EBE7C7}"/>
    <hyperlink ref="B57" location="'S.06.02.07'!A1" display="S.06.02.07" xr:uid="{70C248C9-D361-4276-BB46-80CE278FF738}"/>
    <hyperlink ref="B58" location="'SE.06.02.16'!A1" display="SE.06.02.16" xr:uid="{3C1568D4-6868-4C31-9083-CFDF8DD46D72}"/>
    <hyperlink ref="B59" location="'SE.06.02.18'!A1" display="SE.06.02.18" xr:uid="{9576F4F6-88B7-46CA-93E4-52C59E4B8E07}"/>
    <hyperlink ref="B60" location="'S.06.03.01'!A1" display="S.06.03.01" xr:uid="{FE1BBBAB-825E-40CD-AFA6-DCEF6290329B}"/>
    <hyperlink ref="B61" location="'S.06.03.04'!A1" display="S.06.03.04" xr:uid="{9E491757-6941-430E-8C84-C29304A9B268}"/>
    <hyperlink ref="B62" location="'S.07.01.01'!A1" display="S.07.01.01" xr:uid="{C39B36B3-637E-4C58-B56C-AFAEA146744D}"/>
    <hyperlink ref="B63" location="'S.07.01.04'!A1" display="S.07.01.04" xr:uid="{A17BADA8-C466-4CDF-8FE4-881331F9E17F}"/>
    <hyperlink ref="B64" location="'S.08.01.01'!A1" display="S.08.01.01" xr:uid="{7CF49E98-5303-4B52-B646-20627016C79E}"/>
    <hyperlink ref="B65" location="'S.08.01.04'!A1" display="S.08.01.04" xr:uid="{4B1EB19E-954A-455E-9BD0-BBB2602AAB94}"/>
    <hyperlink ref="B66" location="'S.08.02.01'!A1" display="S.08.02.01" xr:uid="{1D2B33A3-ECEF-476E-B2C7-608DBB3A671D}"/>
    <hyperlink ref="B67" location="'S.08.02.04'!A1" display="S.08.02.04" xr:uid="{DF926963-E090-46D2-9C2A-916987A198E3}"/>
    <hyperlink ref="B68" location="'S.09.01.01'!A1" display="S.09.01.01" xr:uid="{768189F6-B9DD-4DFE-94C4-C65012689C58}"/>
    <hyperlink ref="B69" location="'S.09.01.04'!A1" display="S.09.01.04" xr:uid="{9CB67635-F6DE-491A-B498-86C0F5C0A215}"/>
    <hyperlink ref="B70" location="'S.10.01.01'!A1" display="S.10.01.01" xr:uid="{4B8DCAC6-DB0B-406E-9F76-6190E5B5107E}"/>
    <hyperlink ref="B71" location="'S.10.01.04'!A1" display="S.10.01.04" xr:uid="{5B63973D-0811-4952-976D-CC177582A509}"/>
    <hyperlink ref="B72" location="'S.11.01.01'!A1" display="S.11.01.01" xr:uid="{E25C9EC5-9536-4493-B9F5-855497A76473}"/>
    <hyperlink ref="B73" location="'S.11.01.04'!A1" display="S.11.01.04" xr:uid="{FBC7436C-BE7A-4664-A0A7-90917057884E}"/>
    <hyperlink ref="B74" location="'S.12.01.01'!A1" display="S.12.01.01" xr:uid="{0779B15B-52B8-4529-9D97-E617A89197CD}"/>
    <hyperlink ref="B75" location="'S.12.01.02'!A1" display="S.12.01.02" xr:uid="{A40AF1A8-D992-4E6F-8CCF-B54015196CC1}"/>
    <hyperlink ref="B76" location="'SR.12.01.01'!A1" display="SR.12.01.01" xr:uid="{B11B9941-648B-448C-82F5-E21DFBBEAF37}"/>
    <hyperlink ref="B77" location="'S.12.02.01'!A1" display="S.12.02.01" xr:uid="{9494DCB9-A193-48DB-BA0F-7DD3C0372099}"/>
    <hyperlink ref="B78" location="'S.13.01.01'!A1" display="S.13.01.01" xr:uid="{7608408C-53CD-40F0-BD96-12CCD7E04837}"/>
    <hyperlink ref="B79" location="'S.14.01.01'!A1" display="S.14.01.01" xr:uid="{86418CF9-86DD-491C-80EC-FBAE2AD04FB9}"/>
    <hyperlink ref="B80" location="'S.14.01.10'!A1" display="S.14.01.10" xr:uid="{068F3023-6943-4D21-B746-39669BA3EC51}"/>
    <hyperlink ref="B81" location="'S.15.01.01'!A1" display="S.15.01.01" xr:uid="{2E771485-F6D9-40D9-BBBE-FF187FDA351D}"/>
    <hyperlink ref="B82" location="'S.15.01.04'!A1" display="S.15.01.04" xr:uid="{AA10E366-612E-4422-870F-31C35DD74B41}"/>
    <hyperlink ref="B83" location="'S.15.02.01'!A1" display="S.15.02.01" xr:uid="{06C87382-75A9-46AD-9FEA-0F87822B050E}"/>
    <hyperlink ref="B84" location="'S.15.02.04'!A1" display="S.15.02.04" xr:uid="{83804DA0-7C53-4566-BFB4-8390E8DCC50C}"/>
    <hyperlink ref="B85" location="'S.16.01.01'!A1" display="S.16.01.01" xr:uid="{43DD8AB9-AB91-495A-B1AF-BE3A321E69B8}"/>
    <hyperlink ref="B86" location="'S.17.01.01'!A1" display="S.17.01.01" xr:uid="{4B153B37-26F9-4303-B801-382BA1D4A88B}"/>
    <hyperlink ref="B87" location="'S.17.01.02'!A1" display="S.17.01.02" xr:uid="{20130C36-A1D7-4E8F-8934-8FA3281BB367}"/>
    <hyperlink ref="B88" location="'SR.17.01.01'!A1" display="SR.17.01.01" xr:uid="{0F7A280D-1467-4182-817C-270FCAAFF431}"/>
    <hyperlink ref="B89" location="'S.17.02.01'!A1" display="S.17.02.01" xr:uid="{13D729A6-0CBF-40F3-99E0-88D4FA82C1C1}"/>
    <hyperlink ref="B90" location="'S.18.01.01'!A1" display="S.18.01.01" xr:uid="{7CBD2175-BFB9-40A6-87EE-FEC75F4B0847}"/>
    <hyperlink ref="B91" location="'S.19.01.01'!A1" display="S.19.01.01" xr:uid="{B30F5CF4-25D2-4000-8BA9-808549F4463C}"/>
    <hyperlink ref="B92" location="'S.19.01.21'!A1" display="S.19.01.21" xr:uid="{D5567E35-961D-44C4-8A31-4DD22675A392}"/>
    <hyperlink ref="B93" location="'S.20.01.01'!A1" display="S.20.01.01" xr:uid="{9D2E7C8B-D4CA-4203-AF90-93F15DAEA14C}"/>
    <hyperlink ref="B94" location="'S.21.01.01'!A1" display="S.21.01.01" xr:uid="{D4F732FA-D96C-45C1-8B75-EA3027B6071F}"/>
    <hyperlink ref="B95" location="'S.21.02.01'!A1" display="S.21.02.01" xr:uid="{B1C14747-AC05-4493-B9BB-7561AF816B87}"/>
    <hyperlink ref="B96" location="'S.21.03.01'!A1" display="S.21.03.01" xr:uid="{A0875344-35EE-4A41-AFEF-804A03BED5F6}"/>
    <hyperlink ref="B97" location="'S.22.01.01'!A1" display="S.22.01.01" xr:uid="{7A90A424-DDCA-4B59-9956-EE36D4AFB8BF}"/>
    <hyperlink ref="B98" location="'S.22.01.04'!A1" display="S.22.01.04" xr:uid="{119265B0-DF85-4D7F-B84A-857D2D201907}"/>
    <hyperlink ref="B99" location="'S.22.01.21'!A1" display="S.22.01.21" xr:uid="{57C319C6-02D4-4D51-AA8F-FE1C9A997824}"/>
    <hyperlink ref="B100" location="'S.22.01.22'!A1" display="S.22.01.22" xr:uid="{20FE66C8-6598-44B8-99B3-8A6D6E06BA7F}"/>
    <hyperlink ref="B101" location="'SR.22.02.01'!A1" display="SR.22.02.01" xr:uid="{EC9503EC-7D00-4446-B64D-CEA9CFDDB686}"/>
    <hyperlink ref="B102" location="'SR.22.03.01'!A1" display="SR.22.03.01" xr:uid="{87CC0BE8-4BE4-460E-B74A-E9E0761A7836}"/>
    <hyperlink ref="B103" location="'S.22.04.01'!A1" display="S.22.04.01" xr:uid="{86DBC69F-DA30-4F45-B4E5-B48F6AA4CA74}"/>
    <hyperlink ref="B104" location="'S.22.05.01'!A1" display="S.22.05.01" xr:uid="{1DA45AAC-AAAF-4480-9385-34AEDE468A94}"/>
    <hyperlink ref="B105" location="'S.22.06.01'!A1" display="S.22.06.01" xr:uid="{0CDC61B2-0C59-48DD-9723-00C9E26A1DC2}"/>
    <hyperlink ref="B106" location="'S.23.01.01'!A1" display="S.23.01.01" xr:uid="{955E6794-FA64-4879-AAA3-C436629C7948}"/>
    <hyperlink ref="B107" location="'S.23.01.04'!A1" display="S.23.01.04" xr:uid="{2D1DACF5-10FD-4B23-B7D7-BC53667C6D21}"/>
    <hyperlink ref="B108" location="'S.23.01.07'!A1" display="S.23.01.07" xr:uid="{C19C856F-FF03-4D6B-BBC5-1775DAFADFBD}"/>
    <hyperlink ref="B109" location="'S.23.01.13'!A1" display="S.23.01.13" xr:uid="{843943C1-D69B-4FB3-B95C-F34D8A2F9649}"/>
    <hyperlink ref="B110" location="'S.23.01.22'!A1" display="S.23.01.22" xr:uid="{A31B17D5-2C5B-49D4-A786-CEF6EA595B88}"/>
    <hyperlink ref="B111" location="'S.23.02.01'!A1" display="S.23.02.01" xr:uid="{826C6438-D524-4F2D-9E9B-1C2C0F135AEC}"/>
    <hyperlink ref="B112" location="'S.23.02.04'!A1" display="S.23.02.04" xr:uid="{7122945C-F435-4127-8E98-61E8080F8643}"/>
    <hyperlink ref="B113" location="'S.23.03.01'!A1" display="S.23.03.01" xr:uid="{B1577839-AB4C-4A4B-8AB2-93BC72C7CF2D}"/>
    <hyperlink ref="B114" location="'S.23.03.04'!A1" display="S.23.03.04" xr:uid="{385EB2A4-92CB-4E88-93F2-4EF3A03288F9}"/>
    <hyperlink ref="B115" location="'S.23.03.07'!A1" display="S.23.03.07" xr:uid="{BC2E8823-47DE-4EC0-AE8C-96D74C842F21}"/>
    <hyperlink ref="B116" location="'S.23.04.01'!A1" display="S.23.04.01" xr:uid="{AC8B89FE-191E-4821-8088-877F0A94CEA3}"/>
    <hyperlink ref="B117" location="'S.23.04.04'!A1" display="S.23.04.04" xr:uid="{762B38AD-93D6-4DCF-B503-B6E753A615C3}"/>
    <hyperlink ref="B118" location="'S.24.01.01'!A1" display="S.24.01.01" xr:uid="{643BB225-4933-44F6-ADFF-0E99576A2610}"/>
    <hyperlink ref="B119" location="'S.25.01.01'!A1" display="S.25.01.01" xr:uid="{A06B6DBE-0EC3-4249-81B2-BF7C6FC38F0C}"/>
    <hyperlink ref="B120" location="'S.25.01.04'!A1" display="S.25.01.04" xr:uid="{2C7D90A7-AC7D-4A73-8031-3F7EE41DA423}"/>
    <hyperlink ref="B121" location="'S.25.01.21'!A1" display="S.25.01.21" xr:uid="{A67513CA-6D3A-45C5-86F5-04D0033F420A}"/>
    <hyperlink ref="B122" location="'S.25.01.22'!A1" display="S.25.01.22" xr:uid="{B41CB83B-D300-41E6-B8A4-7C7E29575039}"/>
    <hyperlink ref="B123" location="'SR.25.01.01'!A1" display="SR.25.01.01" xr:uid="{1FC89421-7D00-4BA5-BBBA-AB6312C91158}"/>
    <hyperlink ref="B124" location="'SR.25.01.04'!A1" display="SR.25.01.04" xr:uid="{A28B2221-3FC0-4D8A-8531-377479C00C9E}"/>
    <hyperlink ref="B125" location="'S.25.02.01'!A1" display="S.25.02.01" xr:uid="{76737887-1E6A-41F2-A75C-8659FED574E2}"/>
    <hyperlink ref="B126" location="'S.25.02.04'!A1" display="S.25.02.04" xr:uid="{5C71EAC7-5BC5-45E3-AB86-C4CE2C043057}"/>
    <hyperlink ref="B127" location="'S.25.02.21'!A1" display="S.25.02.21" xr:uid="{1B4A6157-701D-45BE-96D4-4204506D5171}"/>
    <hyperlink ref="B128" location="'S.25.02.22'!A1" display="S.25.02.22" xr:uid="{5CA8D269-1ED7-4C2F-8275-8E1BF25BEFC6}"/>
    <hyperlink ref="B129" location="'SR.25.02.01'!A1" display="SR.25.02.01" xr:uid="{59FD13B3-025B-42B5-BCCC-45361743A298}"/>
    <hyperlink ref="B130" location="'SR.25.02.04'!A1" display="SR.25.02.04" xr:uid="{B1799519-B148-4DF6-A0CA-ED6B6DFB4C5B}"/>
    <hyperlink ref="B131" location="'S.25.03.01'!A1" display="S.25.03.01" xr:uid="{B611EE3E-97CC-4136-8677-3822B6362D68}"/>
    <hyperlink ref="B132" location="'S.25.03.04'!A1" display="S.25.03.04" xr:uid="{FBA4F304-D949-4B30-8C37-8F32B3EF5E91}"/>
    <hyperlink ref="B133" location="'S.25.03.21'!A1" display="S.25.03.21" xr:uid="{DB875925-9D92-4752-9CDF-F7EBA0174AD7}"/>
    <hyperlink ref="B134" location="'S.25.03.22'!A1" display="S.25.03.22" xr:uid="{875BA243-C0F4-4444-B5ED-D94ED9F788C4}"/>
    <hyperlink ref="B135" location="'SR.25.03.01'!A1" display="SR.25.03.01" xr:uid="{83F6096B-5C54-4715-BAC0-028F6D9010F3}"/>
    <hyperlink ref="B136" location="'SR.25.03.04'!A1" display="SR.25.03.04" xr:uid="{12C44F62-FB93-4A12-AF99-0CD57CF2C17E}"/>
    <hyperlink ref="B137" location="'S.25.04.11'!A1" display="S.25.04.11" xr:uid="{26C7042F-4C0C-48BD-AAC5-58CB2CBF40E3}"/>
    <hyperlink ref="B138" location="'S.25.04.13'!A1" display="S.25.04.13" xr:uid="{6AE5EFB0-B331-4387-8E80-15BF58E73BE8}"/>
    <hyperlink ref="B139" location="'S.26.01.01'!A1" display="S.26.01.01" xr:uid="{9CE83EB5-1FCD-4CDE-B8BF-762F131D4644}"/>
    <hyperlink ref="B140" location="'S.26.01.04'!A1" display="S.26.01.04" xr:uid="{1FE3068E-7EEA-45BD-BBA5-2C21DD84A3A2}"/>
    <hyperlink ref="B141" location="'SR.26.01.01'!A1" display="SR.26.01.01" xr:uid="{AAE5CE31-7B02-4373-A40A-FB7D2A3E867E}"/>
    <hyperlink ref="B142" location="'S.26.02.01'!A1" display="S.26.02.01" xr:uid="{4BC8B4EA-F528-4722-A644-8EBAA6E9F4EC}"/>
    <hyperlink ref="B143" location="'S.26.02.04'!A1" display="S.26.02.04" xr:uid="{7C47A66D-9F6A-44FA-AB76-AEA7599E3187}"/>
    <hyperlink ref="B144" location="'SR.26.02.01'!A1" display="SR.26.02.01" xr:uid="{5456892D-7C68-4106-A634-C665BD493748}"/>
    <hyperlink ref="B145" location="'S.26.03.01'!A1" display="S.26.03.01" xr:uid="{084AFC63-4179-4203-AFE2-955831316B43}"/>
    <hyperlink ref="B146" location="'S.26.03.04'!A1" display="S.26.03.04" xr:uid="{A8BD15A2-E00C-452A-B85A-5887135E4522}"/>
    <hyperlink ref="B147" location="'SR.26.03.01'!A1" display="SR.26.03.01" xr:uid="{DD732F7E-1934-423D-89D4-77831960D074}"/>
    <hyperlink ref="B148" location="'S.26.04.01'!A1" display="S.26.04.01" xr:uid="{E44FDD01-BEBB-404A-BE52-B108AD6F54A0}"/>
    <hyperlink ref="B149" location="'S.26.04.04'!A1" display="S.26.04.04" xr:uid="{949A04F4-F598-4793-9AC1-B40FD35942BA}"/>
    <hyperlink ref="B150" location="'SR.26.04.01'!A1" display="SR.26.04.01" xr:uid="{F718BF62-78F0-4F96-856A-B7B462657610}"/>
    <hyperlink ref="B151" location="'S.26.05.01'!A1" display="S.26.05.01" xr:uid="{39BBFA8D-5829-4377-8FDF-2A0684CF6AC5}"/>
    <hyperlink ref="B152" location="'S.26.05.04'!A1" display="S.26.05.04" xr:uid="{903D9933-2DFB-4BEB-A2B6-466240A62A0C}"/>
    <hyperlink ref="B153" location="'SR.26.05.01'!A1" display="SR.26.05.01" xr:uid="{7D9EFA19-7641-4825-AC71-C452E74779E2}"/>
    <hyperlink ref="B154" location="'S.26.06.01'!A1" display="S.26.06.01" xr:uid="{6EDBCEE7-D3DA-4B27-9057-68B663E7FC2A}"/>
    <hyperlink ref="B155" location="'S.26.06.04'!A1" display="S.26.06.04" xr:uid="{9BBCBDDE-344D-4BA2-AB5D-BDFE94A8D271}"/>
    <hyperlink ref="B156" location="'SR.26.06.01'!A1" display="SR.26.06.01" xr:uid="{08721311-7DF3-4D1D-B284-882319A83439}"/>
    <hyperlink ref="B157" location="'S.26.07.01'!A1" display="S.26.07.01" xr:uid="{2371079B-A9EB-4FF9-8243-303A4AA690D4}"/>
    <hyperlink ref="B158" location="'S.26.07.04'!A1" display="S.26.07.04" xr:uid="{2725FF1B-04FA-4802-B55C-108849B1F259}"/>
    <hyperlink ref="B159" location="'SR.26.07.01'!A1" display="SR.26.07.01" xr:uid="{0220CDD2-19D6-45AA-A508-97FE2A27CFD8}"/>
    <hyperlink ref="B160" location="'S.27.01.01'!A1" display="S.27.01.01" xr:uid="{5428DACD-C69C-4465-B08A-EDB830797470}"/>
    <hyperlink ref="B161" location="'S.27.01.04'!A1" display="S.27.01.04" xr:uid="{D9F2C1CF-7AB5-41A1-AC11-461671DBD529}"/>
    <hyperlink ref="B162" location="'SR.27.01.01'!A1" display="SR.27.01.01" xr:uid="{3C26D4F6-43D7-4168-BF6F-7A6143A70F37}"/>
    <hyperlink ref="B163" location="'S.28.01.01'!A1" display="S.28.01.01" xr:uid="{824C8343-0156-4AAC-93C6-D4950BD49913}"/>
    <hyperlink ref="B164" location="'S.28.02.01'!A1" display="S.28.02.01" xr:uid="{6DE5F069-56B0-41E4-8E14-0B49CAD62218}"/>
    <hyperlink ref="B165" location="'S.29.01.01'!A1" display="S.29.01.01" xr:uid="{25D6157F-7FF6-40D8-811E-64A09C46CD72}"/>
    <hyperlink ref="B166" location="'S.29.01.07'!A1" display="S.29.01.07" xr:uid="{5C8851C9-F8B1-47D7-8D79-5FDDEDE97653}"/>
    <hyperlink ref="B167" location="'S.29.02.01'!A1" display="S.29.02.01" xr:uid="{B0EBEA5F-7887-4538-BCCC-4D368A901554}"/>
    <hyperlink ref="B168" location="'S.29.03.01'!A1" display="S.29.03.01" xr:uid="{A4BE3CC5-01D3-4953-86C6-F756CFDD6B3D}"/>
    <hyperlink ref="B169" location="'S.29.04.01'!A1" display="S.29.04.01" xr:uid="{05145D9A-6B76-45B5-AF63-414639DDA135}"/>
    <hyperlink ref="B170" location="'S.30.01.01'!A1" display="S.30.01.01" xr:uid="{D2217236-26CC-48DF-A4ED-85B902B39BE7}"/>
    <hyperlink ref="B171" location="'S.30.02.01'!A1" display="S.30.02.01" xr:uid="{BE957368-BAA0-4AF2-A497-FC60CD60B460}"/>
    <hyperlink ref="B172" location="'S.30.03.01'!A1" display="S.30.03.01" xr:uid="{222940F2-A380-4495-849D-4BD33E8103C4}"/>
    <hyperlink ref="B173" location="'S.30.04.01'!A1" display="S.30.04.01" xr:uid="{147EB712-10E8-49C4-935C-46AA7F8DF6D1}"/>
    <hyperlink ref="B174" location="'S.31.01.01'!A1" display="S.31.01.01" xr:uid="{D8D4F8A8-51A4-4604-9CFA-33390C0EF7C7}"/>
    <hyperlink ref="B175" location="'S.31.01.04'!A1" display="S.31.01.04" xr:uid="{71886397-C4E1-4FB6-B5AE-79F22D1CE4D8}"/>
    <hyperlink ref="B176" location="'S.31.02.01'!A1" display="S.31.02.01" xr:uid="{F377CEE9-DDE4-45D5-B51E-7099D00FD510}"/>
    <hyperlink ref="B177" location="'S.31.02.04'!A1" display="S.31.02.04" xr:uid="{88D0C2FF-9F9F-460F-8A70-FC7CDBCDED39}"/>
    <hyperlink ref="B178" location="'S.32.01.04'!A1" display="S.32.01.04" xr:uid="{82A7CDAE-1195-40E9-9840-C187EEF81197}"/>
    <hyperlink ref="B179" location="'S.32.01.22'!A1" display="S.32.01.22" xr:uid="{8EB1A48C-6630-4095-BA1A-58D48DE847FD}"/>
    <hyperlink ref="B180" location="'S.33.01.04'!A1" display="S.33.01.04" xr:uid="{2D2BE94B-3870-4B59-B9BC-21C79BFF8643}"/>
    <hyperlink ref="B181" location="'S.34.01.04'!A1" display="S.34.01.04" xr:uid="{5B1CE504-743A-4027-8F4A-9F0F4AC9EDDB}"/>
    <hyperlink ref="B182" location="'S.35.01.04'!A1" display="S.35.01.04" xr:uid="{A81CC6DA-6136-4B3A-8974-2F502ACADAA8}"/>
    <hyperlink ref="B183" location="'S.36.01.01'!A1" display="S.36.01.01" xr:uid="{9A07C019-C90E-44B5-A6AB-A93AAE87C956}"/>
    <hyperlink ref="B184" location="'S.36.02.01'!A1" display="S.36.02.01" xr:uid="{C5502DC8-B19E-4884-8FA6-D8A9BDEFE235}"/>
    <hyperlink ref="B185" location="'S.36.03.01'!A1" display="S.36.03.01" xr:uid="{7E84191C-3D23-425F-9F2F-5A0C88AD14AD}"/>
    <hyperlink ref="B186" location="'S.36.04.01'!A1" display="S.36.04.01" xr:uid="{BB0F7504-2CCC-4317-A336-9DF09FFA07B5}"/>
    <hyperlink ref="B187" location="'S.37.01.04'!A1" display="S.37.01.04" xr:uid="{3AC10879-69E0-41A4-B8A6-F7B4CB307C91}"/>
    <hyperlink ref="B188" location="'S.38.01.10'!A1" display="S.38.01.10" xr:uid="{8BEE6A61-79A9-419F-A961-45E1721152F7}"/>
    <hyperlink ref="B189" location="'S.39.01.11'!A1" display="S.39.01.11" xr:uid="{EE299EAF-9288-4F37-B5B1-855C77CB44E7}"/>
    <hyperlink ref="B190" location="'S.40.01.10'!A1" display="S.40.01.10" xr:uid="{F7E61AAC-5E8B-468E-AA44-6CC72BBA1435}"/>
    <hyperlink ref="B191" location="'S.41.01.11'!A1" display="S.41.01.11" xr:uid="{1F1FB75E-A6ED-4633-9B84-28EE13250EF5}"/>
    <hyperlink ref="B192" location="'E.01.01.16'!A1" display="E.01.01.16" xr:uid="{ABF8FE27-F479-4D97-A3FB-DC599994050E}"/>
    <hyperlink ref="B193" location="'E.02.01.16'!A1" display="E.02.01.16" xr:uid="{2F9D20DB-9CFD-4B75-93EE-F8CA0584EFF1}"/>
    <hyperlink ref="B194" location="'E.03.01.16'!A1" display="E.03.01.16" xr:uid="{B3A4B37F-7096-4E30-A7BF-111943B3B95E}"/>
    <hyperlink ref="B195" location="'SPV.01.01.20'!A1" display="SPV.01.01.20" xr:uid="{1FC3E8F2-1EFD-43F5-831B-BCE2FC7B769A}"/>
    <hyperlink ref="B196" location="'SPV.01.02.20'!A1" display="SPV.01.02.20" xr:uid="{4E3D500F-D512-44BC-8F7B-E7E66F509581}"/>
    <hyperlink ref="B197" location="'SPV.02.01.20'!A1" display="SPV.02.01.20" xr:uid="{70D2C2EC-9599-4F28-A56F-7383A54AF1B5}"/>
    <hyperlink ref="B198" location="'SPV.02.02.20'!A1" display="SPV.02.02.20" xr:uid="{E85A20B6-3422-4EED-86D5-459DA9DBAE62}"/>
    <hyperlink ref="B199" location="'SPV.03.01.20'!A1" display="SPV.03.01.20" xr:uid="{1A22AE81-03F5-4F38-BF11-81F1C8D9A3BB}"/>
    <hyperlink ref="B200" location="'SPV.03.02.20'!A1" display="SPV.03.02.20" xr:uid="{A4875656-60EB-450D-82AC-C8302BA77788}"/>
    <hyperlink ref="B201" location="'T.99.01.01'!A1" display="T.99.01.01" xr:uid="{17FA0336-F594-4E29-8AE4-57F9CF96CB1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34B78-F443-43CE-905B-0E244E91599D}">
  <sheetPr codeName="Blad30"/>
  <dimension ref="B2:O103"/>
  <sheetViews>
    <sheetView showGridLines="0" workbookViewId="0"/>
  </sheetViews>
  <sheetFormatPr defaultRowHeight="15"/>
  <cols>
    <col min="2" max="2" width="82.28515625" bestFit="1" customWidth="1"/>
    <col min="4" max="5" width="15.7109375" customWidth="1"/>
  </cols>
  <sheetData>
    <row r="2" spans="2:15" ht="23.25">
      <c r="B2" s="86" t="s">
        <v>544</v>
      </c>
      <c r="C2" s="87"/>
      <c r="D2" s="87"/>
      <c r="E2" s="87"/>
      <c r="F2" s="87"/>
      <c r="G2" s="87"/>
      <c r="H2" s="87"/>
      <c r="I2" s="87"/>
      <c r="J2" s="87"/>
      <c r="K2" s="87"/>
      <c r="L2" s="87"/>
      <c r="M2" s="87"/>
      <c r="N2" s="87"/>
      <c r="O2" s="87"/>
    </row>
    <row r="5" spans="2:15" ht="18.75">
      <c r="B5" s="88" t="s">
        <v>3249</v>
      </c>
      <c r="C5" s="87"/>
      <c r="D5" s="87"/>
      <c r="E5" s="87"/>
      <c r="F5" s="87"/>
      <c r="G5" s="87"/>
      <c r="H5" s="87"/>
      <c r="I5" s="87"/>
      <c r="J5" s="87"/>
      <c r="K5" s="87"/>
      <c r="L5" s="87"/>
    </row>
    <row r="9" spans="2:15">
      <c r="D9" s="92" t="s">
        <v>2877</v>
      </c>
      <c r="E9" s="94"/>
    </row>
    <row r="10" spans="2:15">
      <c r="D10" s="95"/>
      <c r="E10" s="97"/>
    </row>
    <row r="11" spans="2:15">
      <c r="D11" s="89" t="s">
        <v>3250</v>
      </c>
      <c r="E11" s="89" t="s">
        <v>3251</v>
      </c>
    </row>
    <row r="12" spans="2:15">
      <c r="D12" s="90"/>
      <c r="E12" s="90"/>
    </row>
    <row r="13" spans="2:15">
      <c r="D13" s="90"/>
      <c r="E13" s="90"/>
    </row>
    <row r="14" spans="2:15">
      <c r="D14" s="91"/>
      <c r="E14" s="91"/>
    </row>
    <row r="15" spans="2:15">
      <c r="D15" s="45" t="s">
        <v>2879</v>
      </c>
      <c r="E15" s="45" t="s">
        <v>3219</v>
      </c>
      <c r="J15" s="13" t="str">
        <f>Show!$B$26&amp;"S.02.01.01.01 Rows {"&amp;COLUMN($C$1)&amp;"}"&amp;"@ForceFilingCode:true"</f>
        <v>!S.02.01.01.01 Rows {3}@ForceFilingCode:true</v>
      </c>
      <c r="K15" s="13" t="str">
        <f>Show!$B$26&amp;"S.02.01.01.01 Columns {"&amp;COLUMN($D$1)&amp;"}"</f>
        <v>!S.02.01.01.01 Columns {4}</v>
      </c>
    </row>
    <row r="16" spans="2:15">
      <c r="B16" s="43" t="s">
        <v>2880</v>
      </c>
      <c r="C16" s="44" t="s">
        <v>2878</v>
      </c>
      <c r="D16" s="58"/>
      <c r="E16" s="59"/>
    </row>
    <row r="17" spans="2:5">
      <c r="B17" s="47" t="s">
        <v>3252</v>
      </c>
      <c r="C17" s="44" t="s">
        <v>2878</v>
      </c>
      <c r="D17" s="58"/>
      <c r="E17" s="57"/>
    </row>
    <row r="18" spans="2:5">
      <c r="B18" s="49" t="s">
        <v>3253</v>
      </c>
      <c r="C18" s="44" t="s">
        <v>2883</v>
      </c>
      <c r="D18" s="48"/>
      <c r="E18" s="60"/>
    </row>
    <row r="19" spans="2:5">
      <c r="B19" s="49" t="s">
        <v>3254</v>
      </c>
      <c r="C19" s="44" t="s">
        <v>2885</v>
      </c>
      <c r="D19" s="46"/>
      <c r="E19" s="60"/>
    </row>
    <row r="20" spans="2:5">
      <c r="B20" s="49" t="s">
        <v>3255</v>
      </c>
      <c r="C20" s="41" t="s">
        <v>2887</v>
      </c>
      <c r="D20" s="60"/>
      <c r="E20" s="60"/>
    </row>
    <row r="21" spans="2:5">
      <c r="B21" s="49" t="s">
        <v>3256</v>
      </c>
      <c r="C21" s="41" t="s">
        <v>2889</v>
      </c>
      <c r="D21" s="60"/>
      <c r="E21" s="60"/>
    </row>
    <row r="22" spans="2:5">
      <c r="B22" s="49" t="s">
        <v>3257</v>
      </c>
      <c r="C22" s="41" t="s">
        <v>3078</v>
      </c>
      <c r="D22" s="60"/>
      <c r="E22" s="60"/>
    </row>
    <row r="23" spans="2:5">
      <c r="B23" s="49" t="s">
        <v>3258</v>
      </c>
      <c r="C23" s="41" t="s">
        <v>2891</v>
      </c>
      <c r="D23" s="60"/>
      <c r="E23" s="60"/>
    </row>
    <row r="24" spans="2:5">
      <c r="B24" s="49" t="s">
        <v>3259</v>
      </c>
      <c r="C24" s="41" t="s">
        <v>2893</v>
      </c>
      <c r="D24" s="60"/>
      <c r="E24" s="60"/>
    </row>
    <row r="25" spans="2:5">
      <c r="B25" s="61" t="s">
        <v>3260</v>
      </c>
      <c r="C25" s="41" t="s">
        <v>2895</v>
      </c>
      <c r="D25" s="60"/>
      <c r="E25" s="60"/>
    </row>
    <row r="26" spans="2:5">
      <c r="B26" s="61" t="s">
        <v>3261</v>
      </c>
      <c r="C26" s="41" t="s">
        <v>2897</v>
      </c>
      <c r="D26" s="60"/>
      <c r="E26" s="60"/>
    </row>
    <row r="27" spans="2:5">
      <c r="B27" s="61" t="s">
        <v>2480</v>
      </c>
      <c r="C27" s="41" t="s">
        <v>2899</v>
      </c>
      <c r="D27" s="60"/>
      <c r="E27" s="60"/>
    </row>
    <row r="28" spans="2:5">
      <c r="B28" s="62" t="s">
        <v>3262</v>
      </c>
      <c r="C28" s="41" t="s">
        <v>2901</v>
      </c>
      <c r="D28" s="60"/>
      <c r="E28" s="60"/>
    </row>
    <row r="29" spans="2:5">
      <c r="B29" s="62" t="s">
        <v>3263</v>
      </c>
      <c r="C29" s="41" t="s">
        <v>2903</v>
      </c>
      <c r="D29" s="60"/>
      <c r="E29" s="60"/>
    </row>
    <row r="30" spans="2:5">
      <c r="B30" s="61" t="s">
        <v>3264</v>
      </c>
      <c r="C30" s="41" t="s">
        <v>2905</v>
      </c>
      <c r="D30" s="60"/>
      <c r="E30" s="60"/>
    </row>
    <row r="31" spans="2:5">
      <c r="B31" s="62" t="s">
        <v>2372</v>
      </c>
      <c r="C31" s="41" t="s">
        <v>2907</v>
      </c>
      <c r="D31" s="60"/>
      <c r="E31" s="60"/>
    </row>
    <row r="32" spans="2:5">
      <c r="B32" s="62" t="s">
        <v>2373</v>
      </c>
      <c r="C32" s="41" t="s">
        <v>2909</v>
      </c>
      <c r="D32" s="60"/>
      <c r="E32" s="60"/>
    </row>
    <row r="33" spans="2:5">
      <c r="B33" s="62" t="s">
        <v>2377</v>
      </c>
      <c r="C33" s="41" t="s">
        <v>2911</v>
      </c>
      <c r="D33" s="60"/>
      <c r="E33" s="60"/>
    </row>
    <row r="34" spans="2:5">
      <c r="B34" s="62" t="s">
        <v>2378</v>
      </c>
      <c r="C34" s="41" t="s">
        <v>2913</v>
      </c>
      <c r="D34" s="60"/>
      <c r="E34" s="60"/>
    </row>
    <row r="35" spans="2:5">
      <c r="B35" s="61" t="s">
        <v>3265</v>
      </c>
      <c r="C35" s="41" t="s">
        <v>2915</v>
      </c>
      <c r="D35" s="60"/>
      <c r="E35" s="60"/>
    </row>
    <row r="36" spans="2:5">
      <c r="B36" s="61" t="s">
        <v>2481</v>
      </c>
      <c r="C36" s="41" t="s">
        <v>2917</v>
      </c>
      <c r="D36" s="60"/>
      <c r="E36" s="60"/>
    </row>
    <row r="37" spans="2:5">
      <c r="B37" s="61" t="s">
        <v>3266</v>
      </c>
      <c r="C37" s="41" t="s">
        <v>2919</v>
      </c>
      <c r="D37" s="60"/>
      <c r="E37" s="60"/>
    </row>
    <row r="38" spans="2:5">
      <c r="B38" s="61" t="s">
        <v>2382</v>
      </c>
      <c r="C38" s="41" t="s">
        <v>2921</v>
      </c>
      <c r="D38" s="60"/>
      <c r="E38" s="60"/>
    </row>
    <row r="39" spans="2:5">
      <c r="B39" s="49" t="s">
        <v>3267</v>
      </c>
      <c r="C39" s="41" t="s">
        <v>2923</v>
      </c>
      <c r="D39" s="60"/>
      <c r="E39" s="60"/>
    </row>
    <row r="40" spans="2:5">
      <c r="B40" s="49" t="s">
        <v>3268</v>
      </c>
      <c r="C40" s="41" t="s">
        <v>2925</v>
      </c>
      <c r="D40" s="60"/>
      <c r="E40" s="60"/>
    </row>
    <row r="41" spans="2:5">
      <c r="B41" s="61" t="s">
        <v>3269</v>
      </c>
      <c r="C41" s="41" t="s">
        <v>2927</v>
      </c>
      <c r="D41" s="60"/>
      <c r="E41" s="60"/>
    </row>
    <row r="42" spans="2:5">
      <c r="B42" s="61" t="s">
        <v>3270</v>
      </c>
      <c r="C42" s="41" t="s">
        <v>2929</v>
      </c>
      <c r="D42" s="60"/>
      <c r="E42" s="60"/>
    </row>
    <row r="43" spans="2:5">
      <c r="B43" s="61" t="s">
        <v>3271</v>
      </c>
      <c r="C43" s="41" t="s">
        <v>2931</v>
      </c>
      <c r="D43" s="60"/>
      <c r="E43" s="60"/>
    </row>
    <row r="44" spans="2:5">
      <c r="B44" s="49" t="s">
        <v>3272</v>
      </c>
      <c r="C44" s="41" t="s">
        <v>2933</v>
      </c>
      <c r="D44" s="60"/>
      <c r="E44" s="60"/>
    </row>
    <row r="45" spans="2:5">
      <c r="B45" s="61" t="s">
        <v>3273</v>
      </c>
      <c r="C45" s="41" t="s">
        <v>2935</v>
      </c>
      <c r="D45" s="60"/>
      <c r="E45" s="60"/>
    </row>
    <row r="46" spans="2:5">
      <c r="B46" s="62" t="s">
        <v>3274</v>
      </c>
      <c r="C46" s="41" t="s">
        <v>2937</v>
      </c>
      <c r="D46" s="60"/>
      <c r="E46" s="60"/>
    </row>
    <row r="47" spans="2:5">
      <c r="B47" s="62" t="s">
        <v>3275</v>
      </c>
      <c r="C47" s="41" t="s">
        <v>2939</v>
      </c>
      <c r="D47" s="60"/>
      <c r="E47" s="60"/>
    </row>
    <row r="48" spans="2:5">
      <c r="B48" s="61" t="s">
        <v>3276</v>
      </c>
      <c r="C48" s="41" t="s">
        <v>2941</v>
      </c>
      <c r="D48" s="60"/>
      <c r="E48" s="60"/>
    </row>
    <row r="49" spans="2:5">
      <c r="B49" s="62" t="s">
        <v>3277</v>
      </c>
      <c r="C49" s="41" t="s">
        <v>2943</v>
      </c>
      <c r="D49" s="60"/>
      <c r="E49" s="60"/>
    </row>
    <row r="50" spans="2:5">
      <c r="B50" s="62" t="s">
        <v>3278</v>
      </c>
      <c r="C50" s="41" t="s">
        <v>2945</v>
      </c>
      <c r="D50" s="60"/>
      <c r="E50" s="60"/>
    </row>
    <row r="51" spans="2:5">
      <c r="B51" s="61" t="s">
        <v>3279</v>
      </c>
      <c r="C51" s="41" t="s">
        <v>2947</v>
      </c>
      <c r="D51" s="60"/>
      <c r="E51" s="60"/>
    </row>
    <row r="52" spans="2:5">
      <c r="B52" s="49" t="s">
        <v>3280</v>
      </c>
      <c r="C52" s="41" t="s">
        <v>2949</v>
      </c>
      <c r="D52" s="60"/>
      <c r="E52" s="60"/>
    </row>
    <row r="53" spans="2:5">
      <c r="B53" s="49" t="s">
        <v>3281</v>
      </c>
      <c r="C53" s="41" t="s">
        <v>2951</v>
      </c>
      <c r="D53" s="60"/>
      <c r="E53" s="60"/>
    </row>
    <row r="54" spans="2:5">
      <c r="B54" s="49" t="s">
        <v>3282</v>
      </c>
      <c r="C54" s="41" t="s">
        <v>2953</v>
      </c>
      <c r="D54" s="60"/>
      <c r="E54" s="60"/>
    </row>
    <row r="55" spans="2:5">
      <c r="B55" s="49" t="s">
        <v>3283</v>
      </c>
      <c r="C55" s="41" t="s">
        <v>2955</v>
      </c>
      <c r="D55" s="60"/>
      <c r="E55" s="60"/>
    </row>
    <row r="56" spans="2:5">
      <c r="B56" s="49" t="s">
        <v>3284</v>
      </c>
      <c r="C56" s="41" t="s">
        <v>2957</v>
      </c>
      <c r="D56" s="60"/>
      <c r="E56" s="60"/>
    </row>
    <row r="57" spans="2:5">
      <c r="B57" s="49" t="s">
        <v>3285</v>
      </c>
      <c r="C57" s="41" t="s">
        <v>2959</v>
      </c>
      <c r="D57" s="60"/>
      <c r="E57" s="60"/>
    </row>
    <row r="58" spans="2:5">
      <c r="B58" s="49" t="s">
        <v>3286</v>
      </c>
      <c r="C58" s="41" t="s">
        <v>2961</v>
      </c>
      <c r="D58" s="60"/>
      <c r="E58" s="60"/>
    </row>
    <row r="59" spans="2:5">
      <c r="B59" s="49" t="s">
        <v>3287</v>
      </c>
      <c r="C59" s="41" t="s">
        <v>2963</v>
      </c>
      <c r="D59" s="60"/>
      <c r="E59" s="60"/>
    </row>
    <row r="60" spans="2:5">
      <c r="B60" s="49" t="s">
        <v>3288</v>
      </c>
      <c r="C60" s="41" t="s">
        <v>2977</v>
      </c>
      <c r="D60" s="63"/>
      <c r="E60" s="63"/>
    </row>
    <row r="61" spans="2:5">
      <c r="B61" s="47" t="s">
        <v>2389</v>
      </c>
      <c r="C61" s="44" t="s">
        <v>2878</v>
      </c>
      <c r="D61" s="56"/>
      <c r="E61" s="57"/>
    </row>
    <row r="62" spans="2:5">
      <c r="B62" s="49" t="s">
        <v>3289</v>
      </c>
      <c r="C62" s="41" t="s">
        <v>2979</v>
      </c>
      <c r="D62" s="60"/>
      <c r="E62" s="60"/>
    </row>
    <row r="63" spans="2:5">
      <c r="B63" s="61" t="s">
        <v>3290</v>
      </c>
      <c r="C63" s="41" t="s">
        <v>2981</v>
      </c>
      <c r="D63" s="60"/>
      <c r="E63" s="63"/>
    </row>
    <row r="64" spans="2:5">
      <c r="B64" s="62" t="s">
        <v>3291</v>
      </c>
      <c r="C64" s="41" t="s">
        <v>2983</v>
      </c>
      <c r="D64" s="64"/>
      <c r="E64" s="48"/>
    </row>
    <row r="65" spans="2:5">
      <c r="B65" s="62" t="s">
        <v>3292</v>
      </c>
      <c r="C65" s="41" t="s">
        <v>2985</v>
      </c>
      <c r="D65" s="64"/>
      <c r="E65" s="48"/>
    </row>
    <row r="66" spans="2:5">
      <c r="B66" s="62" t="s">
        <v>3293</v>
      </c>
      <c r="C66" s="41" t="s">
        <v>2987</v>
      </c>
      <c r="D66" s="64"/>
      <c r="E66" s="46"/>
    </row>
    <row r="67" spans="2:5">
      <c r="B67" s="61" t="s">
        <v>3294</v>
      </c>
      <c r="C67" s="41" t="s">
        <v>2989</v>
      </c>
      <c r="D67" s="60"/>
      <c r="E67" s="63"/>
    </row>
    <row r="68" spans="2:5">
      <c r="B68" s="62" t="s">
        <v>3291</v>
      </c>
      <c r="C68" s="41" t="s">
        <v>2991</v>
      </c>
      <c r="D68" s="64"/>
      <c r="E68" s="48"/>
    </row>
    <row r="69" spans="2:5">
      <c r="B69" s="62" t="s">
        <v>3292</v>
      </c>
      <c r="C69" s="41" t="s">
        <v>2993</v>
      </c>
      <c r="D69" s="64"/>
      <c r="E69" s="48"/>
    </row>
    <row r="70" spans="2:5">
      <c r="B70" s="62" t="s">
        <v>3293</v>
      </c>
      <c r="C70" s="41" t="s">
        <v>2995</v>
      </c>
      <c r="D70" s="64"/>
      <c r="E70" s="46"/>
    </row>
    <row r="71" spans="2:5">
      <c r="B71" s="49" t="s">
        <v>3295</v>
      </c>
      <c r="C71" s="41" t="s">
        <v>2997</v>
      </c>
      <c r="D71" s="60"/>
      <c r="E71" s="60"/>
    </row>
    <row r="72" spans="2:5">
      <c r="B72" s="61" t="s">
        <v>3296</v>
      </c>
      <c r="C72" s="41" t="s">
        <v>2999</v>
      </c>
      <c r="D72" s="60"/>
      <c r="E72" s="63"/>
    </row>
    <row r="73" spans="2:5">
      <c r="B73" s="62" t="s">
        <v>3291</v>
      </c>
      <c r="C73" s="41" t="s">
        <v>3001</v>
      </c>
      <c r="D73" s="64"/>
      <c r="E73" s="48"/>
    </row>
    <row r="74" spans="2:5">
      <c r="B74" s="62" t="s">
        <v>3292</v>
      </c>
      <c r="C74" s="41" t="s">
        <v>3003</v>
      </c>
      <c r="D74" s="64"/>
      <c r="E74" s="48"/>
    </row>
    <row r="75" spans="2:5">
      <c r="B75" s="62" t="s">
        <v>3293</v>
      </c>
      <c r="C75" s="41" t="s">
        <v>3005</v>
      </c>
      <c r="D75" s="64"/>
      <c r="E75" s="46"/>
    </row>
    <row r="76" spans="2:5">
      <c r="B76" s="61" t="s">
        <v>3297</v>
      </c>
      <c r="C76" s="41" t="s">
        <v>3007</v>
      </c>
      <c r="D76" s="60"/>
      <c r="E76" s="63"/>
    </row>
    <row r="77" spans="2:5">
      <c r="B77" s="62" t="s">
        <v>3291</v>
      </c>
      <c r="C77" s="41" t="s">
        <v>3009</v>
      </c>
      <c r="D77" s="64"/>
      <c r="E77" s="48"/>
    </row>
    <row r="78" spans="2:5">
      <c r="B78" s="62" t="s">
        <v>3292</v>
      </c>
      <c r="C78" s="41" t="s">
        <v>3011</v>
      </c>
      <c r="D78" s="64"/>
      <c r="E78" s="48"/>
    </row>
    <row r="79" spans="2:5">
      <c r="B79" s="62" t="s">
        <v>3293</v>
      </c>
      <c r="C79" s="41" t="s">
        <v>3013</v>
      </c>
      <c r="D79" s="64"/>
      <c r="E79" s="46"/>
    </row>
    <row r="80" spans="2:5">
      <c r="B80" s="49" t="s">
        <v>3298</v>
      </c>
      <c r="C80" s="41" t="s">
        <v>3015</v>
      </c>
      <c r="D80" s="60"/>
      <c r="E80" s="63"/>
    </row>
    <row r="81" spans="2:5">
      <c r="B81" s="61" t="s">
        <v>3291</v>
      </c>
      <c r="C81" s="41" t="s">
        <v>3064</v>
      </c>
      <c r="D81" s="64"/>
      <c r="E81" s="48"/>
    </row>
    <row r="82" spans="2:5">
      <c r="B82" s="61" t="s">
        <v>3292</v>
      </c>
      <c r="C82" s="41" t="s">
        <v>3066</v>
      </c>
      <c r="D82" s="64"/>
      <c r="E82" s="48"/>
    </row>
    <row r="83" spans="2:5">
      <c r="B83" s="61" t="s">
        <v>3293</v>
      </c>
      <c r="C83" s="41" t="s">
        <v>3068</v>
      </c>
      <c r="D83" s="65"/>
      <c r="E83" s="46"/>
    </row>
    <row r="84" spans="2:5">
      <c r="B84" s="49" t="s">
        <v>3299</v>
      </c>
      <c r="C84" s="44" t="s">
        <v>3070</v>
      </c>
      <c r="D84" s="46"/>
      <c r="E84" s="60"/>
    </row>
    <row r="85" spans="2:5">
      <c r="B85" s="49" t="s">
        <v>2698</v>
      </c>
      <c r="C85" s="41" t="s">
        <v>3017</v>
      </c>
      <c r="D85" s="60"/>
      <c r="E85" s="60"/>
    </row>
    <row r="86" spans="2:5">
      <c r="B86" s="49" t="s">
        <v>3300</v>
      </c>
      <c r="C86" s="41" t="s">
        <v>3019</v>
      </c>
      <c r="D86" s="60"/>
      <c r="E86" s="60"/>
    </row>
    <row r="87" spans="2:5">
      <c r="B87" s="49" t="s">
        <v>3301</v>
      </c>
      <c r="C87" s="41" t="s">
        <v>3021</v>
      </c>
      <c r="D87" s="60"/>
      <c r="E87" s="60"/>
    </row>
    <row r="88" spans="2:5">
      <c r="B88" s="49" t="s">
        <v>3302</v>
      </c>
      <c r="C88" s="41" t="s">
        <v>3023</v>
      </c>
      <c r="D88" s="60"/>
      <c r="E88" s="60"/>
    </row>
    <row r="89" spans="2:5">
      <c r="B89" s="49" t="s">
        <v>3303</v>
      </c>
      <c r="C89" s="41" t="s">
        <v>3072</v>
      </c>
      <c r="D89" s="60"/>
      <c r="E89" s="60"/>
    </row>
    <row r="90" spans="2:5">
      <c r="B90" s="49" t="s">
        <v>2481</v>
      </c>
      <c r="C90" s="41" t="s">
        <v>3118</v>
      </c>
      <c r="D90" s="60"/>
      <c r="E90" s="60"/>
    </row>
    <row r="91" spans="2:5">
      <c r="B91" s="49" t="s">
        <v>3304</v>
      </c>
      <c r="C91" s="41" t="s">
        <v>3120</v>
      </c>
      <c r="D91" s="60"/>
      <c r="E91" s="60"/>
    </row>
    <row r="92" spans="2:5">
      <c r="B92" s="49" t="s">
        <v>3305</v>
      </c>
      <c r="C92" s="41" t="s">
        <v>3122</v>
      </c>
      <c r="D92" s="60"/>
      <c r="E92" s="60"/>
    </row>
    <row r="93" spans="2:5">
      <c r="B93" s="49" t="s">
        <v>3306</v>
      </c>
      <c r="C93" s="41" t="s">
        <v>3124</v>
      </c>
      <c r="D93" s="60"/>
      <c r="E93" s="60"/>
    </row>
    <row r="94" spans="2:5">
      <c r="B94" s="49" t="s">
        <v>3307</v>
      </c>
      <c r="C94" s="41" t="s">
        <v>3126</v>
      </c>
      <c r="D94" s="60"/>
      <c r="E94" s="60"/>
    </row>
    <row r="95" spans="2:5">
      <c r="B95" s="49" t="s">
        <v>3308</v>
      </c>
      <c r="C95" s="41" t="s">
        <v>3128</v>
      </c>
      <c r="D95" s="60"/>
      <c r="E95" s="60"/>
    </row>
    <row r="96" spans="2:5">
      <c r="B96" s="49" t="s">
        <v>3309</v>
      </c>
      <c r="C96" s="41" t="s">
        <v>3130</v>
      </c>
      <c r="D96" s="60"/>
      <c r="E96" s="60"/>
    </row>
    <row r="97" spans="2:11">
      <c r="B97" s="61" t="s">
        <v>3310</v>
      </c>
      <c r="C97" s="41" t="s">
        <v>3132</v>
      </c>
      <c r="D97" s="60"/>
      <c r="E97" s="60"/>
    </row>
    <row r="98" spans="2:11">
      <c r="B98" s="61" t="s">
        <v>3311</v>
      </c>
      <c r="C98" s="41" t="s">
        <v>3134</v>
      </c>
      <c r="D98" s="60"/>
      <c r="E98" s="60"/>
    </row>
    <row r="99" spans="2:11">
      <c r="B99" s="49" t="s">
        <v>3312</v>
      </c>
      <c r="C99" s="41" t="s">
        <v>3136</v>
      </c>
      <c r="D99" s="60"/>
      <c r="E99" s="60"/>
    </row>
    <row r="100" spans="2:11">
      <c r="B100" s="49" t="s">
        <v>3313</v>
      </c>
      <c r="C100" s="41" t="s">
        <v>3140</v>
      </c>
      <c r="D100" s="60"/>
      <c r="E100" s="60"/>
    </row>
    <row r="101" spans="2:11">
      <c r="B101" s="47" t="s">
        <v>3314</v>
      </c>
      <c r="C101" s="41" t="s">
        <v>3315</v>
      </c>
      <c r="D101" s="60"/>
      <c r="E101" s="60"/>
    </row>
    <row r="103" spans="2:11">
      <c r="J103" s="13" t="str">
        <f>Show!$B$26&amp;Show!$B$26&amp;"S.02.01.01.01 Rows {"&amp;COLUMN($C$1)&amp;"}"</f>
        <v>!!S.02.01.01.01 Rows {3}</v>
      </c>
      <c r="K103" s="13" t="str">
        <f>Show!$B$26&amp;Show!$B$26&amp;"S.02.01.01.01 Columns {"&amp;COLUMN($E$1)&amp;"}"</f>
        <v>!!S.02.01.01.01 Columns {5}</v>
      </c>
    </row>
  </sheetData>
  <sheetProtection sheet="1" objects="1" scenarios="1"/>
  <mergeCells count="5">
    <mergeCell ref="B2:O2"/>
    <mergeCell ref="B5:L5"/>
    <mergeCell ref="D9:E10"/>
    <mergeCell ref="D11:D14"/>
    <mergeCell ref="E11:E1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E8FE8-F8BF-4F87-91B5-0A3B60059A02}">
  <sheetPr codeName="Blad31"/>
  <dimension ref="B2:O103"/>
  <sheetViews>
    <sheetView showGridLines="0" workbookViewId="0">
      <selection activeCell="D20" sqref="D20"/>
    </sheetView>
  </sheetViews>
  <sheetFormatPr defaultRowHeight="15"/>
  <cols>
    <col min="2" max="2" width="82.28515625" bestFit="1" customWidth="1"/>
    <col min="4" max="4" width="15.7109375" customWidth="1"/>
  </cols>
  <sheetData>
    <row r="2" spans="2:15" ht="23.25">
      <c r="B2" s="86" t="s">
        <v>544</v>
      </c>
      <c r="C2" s="87"/>
      <c r="D2" s="87"/>
      <c r="E2" s="87"/>
      <c r="F2" s="87"/>
      <c r="G2" s="87"/>
      <c r="H2" s="87"/>
      <c r="I2" s="87"/>
      <c r="J2" s="87"/>
      <c r="K2" s="87"/>
      <c r="L2" s="87"/>
      <c r="M2" s="87"/>
      <c r="N2" s="87"/>
      <c r="O2" s="87"/>
    </row>
    <row r="5" spans="2:15" ht="18.75">
      <c r="B5" s="88" t="s">
        <v>3316</v>
      </c>
      <c r="C5" s="87"/>
      <c r="D5" s="87"/>
      <c r="E5" s="87"/>
      <c r="F5" s="87"/>
      <c r="G5" s="87"/>
      <c r="H5" s="87"/>
      <c r="I5" s="87"/>
      <c r="J5" s="87"/>
      <c r="K5" s="87"/>
      <c r="L5" s="87"/>
    </row>
    <row r="9" spans="2:15">
      <c r="D9" s="89" t="s">
        <v>2877</v>
      </c>
    </row>
    <row r="10" spans="2:15">
      <c r="D10" s="91"/>
    </row>
    <row r="11" spans="2:15">
      <c r="D11" s="89" t="s">
        <v>3250</v>
      </c>
    </row>
    <row r="12" spans="2:15">
      <c r="D12" s="90"/>
    </row>
    <row r="13" spans="2:15">
      <c r="D13" s="90"/>
    </row>
    <row r="14" spans="2:15">
      <c r="D14" s="91"/>
    </row>
    <row r="15" spans="2:15">
      <c r="D15" s="45" t="s">
        <v>2879</v>
      </c>
      <c r="I15" s="13"/>
      <c r="J15" s="13"/>
    </row>
    <row r="16" spans="2:15">
      <c r="B16" s="43" t="s">
        <v>2880</v>
      </c>
      <c r="C16" s="44" t="s">
        <v>2878</v>
      </c>
      <c r="D16" s="48"/>
    </row>
    <row r="17" spans="2:4">
      <c r="B17" s="47" t="s">
        <v>3252</v>
      </c>
      <c r="C17" s="44" t="s">
        <v>2878</v>
      </c>
      <c r="D17" s="48"/>
    </row>
    <row r="18" spans="2:4">
      <c r="B18" s="49" t="s">
        <v>3253</v>
      </c>
      <c r="C18" s="44" t="s">
        <v>2883</v>
      </c>
      <c r="D18" s="48"/>
    </row>
    <row r="19" spans="2:4">
      <c r="B19" s="49" t="s">
        <v>3254</v>
      </c>
      <c r="C19" s="44" t="s">
        <v>2885</v>
      </c>
      <c r="D19" s="46"/>
    </row>
    <row r="20" spans="2:4">
      <c r="B20" s="49" t="s">
        <v>3255</v>
      </c>
      <c r="C20" s="41" t="s">
        <v>2887</v>
      </c>
      <c r="D20" s="60">
        <v>0</v>
      </c>
    </row>
    <row r="21" spans="2:4">
      <c r="B21" s="49" t="s">
        <v>3256</v>
      </c>
      <c r="C21" s="41" t="s">
        <v>2889</v>
      </c>
      <c r="D21" s="60">
        <v>0</v>
      </c>
    </row>
    <row r="22" spans="2:4">
      <c r="B22" s="49" t="s">
        <v>3257</v>
      </c>
      <c r="C22" s="41" t="s">
        <v>3078</v>
      </c>
      <c r="D22" s="60">
        <v>0</v>
      </c>
    </row>
    <row r="23" spans="2:4">
      <c r="B23" s="49" t="s">
        <v>3258</v>
      </c>
      <c r="C23" s="41" t="s">
        <v>2891</v>
      </c>
      <c r="D23" s="60">
        <v>26442557.950000003</v>
      </c>
    </row>
    <row r="24" spans="2:4">
      <c r="B24" s="49" t="s">
        <v>3259</v>
      </c>
      <c r="C24" s="41" t="s">
        <v>2893</v>
      </c>
      <c r="D24" s="60">
        <v>6805075602.0209227</v>
      </c>
    </row>
    <row r="25" spans="2:4">
      <c r="B25" s="61" t="s">
        <v>3260</v>
      </c>
      <c r="C25" s="41" t="s">
        <v>2895</v>
      </c>
      <c r="D25" s="60">
        <v>0</v>
      </c>
    </row>
    <row r="26" spans="2:4">
      <c r="B26" s="61" t="s">
        <v>3261</v>
      </c>
      <c r="C26" s="41" t="s">
        <v>2897</v>
      </c>
      <c r="D26" s="60">
        <v>4887281281.7399998</v>
      </c>
    </row>
    <row r="27" spans="2:4">
      <c r="B27" s="61" t="s">
        <v>2480</v>
      </c>
      <c r="C27" s="41" t="s">
        <v>2899</v>
      </c>
      <c r="D27" s="60">
        <v>0</v>
      </c>
    </row>
    <row r="28" spans="2:4">
      <c r="B28" s="62" t="s">
        <v>3262</v>
      </c>
      <c r="C28" s="41" t="s">
        <v>2901</v>
      </c>
      <c r="D28" s="60">
        <v>0</v>
      </c>
    </row>
    <row r="29" spans="2:4">
      <c r="B29" s="62" t="s">
        <v>3263</v>
      </c>
      <c r="C29" s="41" t="s">
        <v>2903</v>
      </c>
      <c r="D29" s="60">
        <v>0</v>
      </c>
    </row>
    <row r="30" spans="2:4">
      <c r="B30" s="61" t="s">
        <v>3264</v>
      </c>
      <c r="C30" s="41" t="s">
        <v>2905</v>
      </c>
      <c r="D30" s="60">
        <v>1530985357.2809231</v>
      </c>
    </row>
    <row r="31" spans="2:4">
      <c r="B31" s="62" t="s">
        <v>2372</v>
      </c>
      <c r="C31" s="41" t="s">
        <v>2907</v>
      </c>
      <c r="D31" s="60">
        <v>470166686.02574641</v>
      </c>
    </row>
    <row r="32" spans="2:4">
      <c r="B32" s="62" t="s">
        <v>2373</v>
      </c>
      <c r="C32" s="41" t="s">
        <v>2909</v>
      </c>
      <c r="D32" s="60">
        <v>1060818671.2551768</v>
      </c>
    </row>
    <row r="33" spans="2:4">
      <c r="B33" s="62" t="s">
        <v>2377</v>
      </c>
      <c r="C33" s="41" t="s">
        <v>2911</v>
      </c>
      <c r="D33" s="60">
        <v>0</v>
      </c>
    </row>
    <row r="34" spans="2:4">
      <c r="B34" s="62" t="s">
        <v>2378</v>
      </c>
      <c r="C34" s="41" t="s">
        <v>2913</v>
      </c>
      <c r="D34" s="60">
        <v>0</v>
      </c>
    </row>
    <row r="35" spans="2:4">
      <c r="B35" s="61" t="s">
        <v>3265</v>
      </c>
      <c r="C35" s="41" t="s">
        <v>2915</v>
      </c>
      <c r="D35" s="60">
        <v>195786808</v>
      </c>
    </row>
    <row r="36" spans="2:4">
      <c r="B36" s="61" t="s">
        <v>2481</v>
      </c>
      <c r="C36" s="41" t="s">
        <v>2917</v>
      </c>
      <c r="D36" s="60">
        <v>0</v>
      </c>
    </row>
    <row r="37" spans="2:4">
      <c r="B37" s="61" t="s">
        <v>3266</v>
      </c>
      <c r="C37" s="41" t="s">
        <v>2919</v>
      </c>
      <c r="D37" s="60">
        <v>191022155</v>
      </c>
    </row>
    <row r="38" spans="2:4">
      <c r="B38" s="61" t="s">
        <v>2382</v>
      </c>
      <c r="C38" s="41" t="s">
        <v>2921</v>
      </c>
      <c r="D38" s="60">
        <v>0</v>
      </c>
    </row>
    <row r="39" spans="2:4">
      <c r="B39" s="49" t="s">
        <v>3267</v>
      </c>
      <c r="C39" s="41" t="s">
        <v>2923</v>
      </c>
      <c r="D39" s="60">
        <v>0</v>
      </c>
    </row>
    <row r="40" spans="2:4">
      <c r="B40" s="49" t="s">
        <v>3268</v>
      </c>
      <c r="C40" s="41" t="s">
        <v>2925</v>
      </c>
      <c r="D40" s="60">
        <v>1171529304.3776608</v>
      </c>
    </row>
    <row r="41" spans="2:4">
      <c r="B41" s="61" t="s">
        <v>3269</v>
      </c>
      <c r="C41" s="41" t="s">
        <v>2927</v>
      </c>
      <c r="D41" s="60">
        <v>0</v>
      </c>
    </row>
    <row r="42" spans="2:4">
      <c r="B42" s="61" t="s">
        <v>3270</v>
      </c>
      <c r="C42" s="41" t="s">
        <v>2929</v>
      </c>
      <c r="D42" s="60">
        <v>0</v>
      </c>
    </row>
    <row r="43" spans="2:4">
      <c r="B43" s="61" t="s">
        <v>3271</v>
      </c>
      <c r="C43" s="41" t="s">
        <v>2931</v>
      </c>
      <c r="D43" s="60">
        <v>1171529304.3776608</v>
      </c>
    </row>
    <row r="44" spans="2:4">
      <c r="B44" s="49" t="s">
        <v>3272</v>
      </c>
      <c r="C44" s="41" t="s">
        <v>2933</v>
      </c>
      <c r="D44" s="60">
        <v>61945157.557230972</v>
      </c>
    </row>
    <row r="45" spans="2:4">
      <c r="B45" s="61" t="s">
        <v>3273</v>
      </c>
      <c r="C45" s="41" t="s">
        <v>2935</v>
      </c>
      <c r="D45" s="60">
        <v>61945157.557230972</v>
      </c>
    </row>
    <row r="46" spans="2:4">
      <c r="B46" s="62" t="s">
        <v>3274</v>
      </c>
      <c r="C46" s="41" t="s">
        <v>2937</v>
      </c>
      <c r="D46" s="60">
        <v>61492919.560545087</v>
      </c>
    </row>
    <row r="47" spans="2:4">
      <c r="B47" s="62" t="s">
        <v>3275</v>
      </c>
      <c r="C47" s="41" t="s">
        <v>2939</v>
      </c>
      <c r="D47" s="60">
        <v>452237.99668588815</v>
      </c>
    </row>
    <row r="48" spans="2:4">
      <c r="B48" s="61" t="s">
        <v>3276</v>
      </c>
      <c r="C48" s="41" t="s">
        <v>2941</v>
      </c>
      <c r="D48" s="60">
        <v>0</v>
      </c>
    </row>
    <row r="49" spans="2:4">
      <c r="B49" s="62" t="s">
        <v>3277</v>
      </c>
      <c r="C49" s="41" t="s">
        <v>2943</v>
      </c>
      <c r="D49" s="60">
        <v>0</v>
      </c>
    </row>
    <row r="50" spans="2:4">
      <c r="B50" s="62" t="s">
        <v>3278</v>
      </c>
      <c r="C50" s="41" t="s">
        <v>2945</v>
      </c>
      <c r="D50" s="60">
        <v>0</v>
      </c>
    </row>
    <row r="51" spans="2:4">
      <c r="B51" s="61" t="s">
        <v>3279</v>
      </c>
      <c r="C51" s="41" t="s">
        <v>2947</v>
      </c>
      <c r="D51" s="60">
        <v>0</v>
      </c>
    </row>
    <row r="52" spans="2:4">
      <c r="B52" s="49" t="s">
        <v>3280</v>
      </c>
      <c r="C52" s="41" t="s">
        <v>2949</v>
      </c>
      <c r="D52" s="60">
        <v>4895996.08</v>
      </c>
    </row>
    <row r="53" spans="2:4">
      <c r="B53" s="49" t="s">
        <v>3281</v>
      </c>
      <c r="C53" s="41" t="s">
        <v>2951</v>
      </c>
      <c r="D53" s="60">
        <v>84968375.659998298</v>
      </c>
    </row>
    <row r="54" spans="2:4">
      <c r="B54" s="49" t="s">
        <v>3282</v>
      </c>
      <c r="C54" s="41" t="s">
        <v>2953</v>
      </c>
      <c r="D54" s="60">
        <v>0</v>
      </c>
    </row>
    <row r="55" spans="2:4">
      <c r="B55" s="49" t="s">
        <v>3283</v>
      </c>
      <c r="C55" s="41" t="s">
        <v>2955</v>
      </c>
      <c r="D55" s="60">
        <v>4778453.91</v>
      </c>
    </row>
    <row r="56" spans="2:4">
      <c r="B56" s="49" t="s">
        <v>3284</v>
      </c>
      <c r="C56" s="41" t="s">
        <v>2957</v>
      </c>
      <c r="D56" s="60">
        <v>200528882.68000001</v>
      </c>
    </row>
    <row r="57" spans="2:4">
      <c r="B57" s="49" t="s">
        <v>3285</v>
      </c>
      <c r="C57" s="41" t="s">
        <v>2959</v>
      </c>
      <c r="D57" s="60">
        <v>0</v>
      </c>
    </row>
    <row r="58" spans="2:4">
      <c r="B58" s="49" t="s">
        <v>3286</v>
      </c>
      <c r="C58" s="41" t="s">
        <v>2961</v>
      </c>
      <c r="D58" s="60">
        <v>72836798.850000009</v>
      </c>
    </row>
    <row r="59" spans="2:4">
      <c r="B59" s="49" t="s">
        <v>3287</v>
      </c>
      <c r="C59" s="41" t="s">
        <v>2963</v>
      </c>
      <c r="D59" s="60">
        <v>3503926.9800000004</v>
      </c>
    </row>
    <row r="60" spans="2:4">
      <c r="B60" s="49" t="s">
        <v>3288</v>
      </c>
      <c r="C60" s="41" t="s">
        <v>2977</v>
      </c>
      <c r="D60" s="60">
        <v>8436505056.0658121</v>
      </c>
    </row>
    <row r="61" spans="2:4">
      <c r="B61" s="47" t="s">
        <v>2389</v>
      </c>
      <c r="C61" s="44" t="s">
        <v>2878</v>
      </c>
      <c r="D61" s="46"/>
    </row>
    <row r="62" spans="2:4">
      <c r="B62" s="49" t="s">
        <v>3289</v>
      </c>
      <c r="C62" s="41" t="s">
        <v>2979</v>
      </c>
      <c r="D62" s="60">
        <v>1295080946.2302017</v>
      </c>
    </row>
    <row r="63" spans="2:4">
      <c r="B63" s="61" t="s">
        <v>3290</v>
      </c>
      <c r="C63" s="41" t="s">
        <v>2981</v>
      </c>
      <c r="D63" s="60">
        <v>1230099806.0988629</v>
      </c>
    </row>
    <row r="64" spans="2:4">
      <c r="B64" s="62" t="s">
        <v>3291</v>
      </c>
      <c r="C64" s="41" t="s">
        <v>2983</v>
      </c>
      <c r="D64" s="60">
        <v>0</v>
      </c>
    </row>
    <row r="65" spans="2:4">
      <c r="B65" s="62" t="s">
        <v>3292</v>
      </c>
      <c r="C65" s="41" t="s">
        <v>2985</v>
      </c>
      <c r="D65" s="60">
        <v>1164869911.1511273</v>
      </c>
    </row>
    <row r="66" spans="2:4">
      <c r="B66" s="62" t="s">
        <v>3293</v>
      </c>
      <c r="C66" s="41" t="s">
        <v>2987</v>
      </c>
      <c r="D66" s="60">
        <v>65229894.947735637</v>
      </c>
    </row>
    <row r="67" spans="2:4">
      <c r="B67" s="61" t="s">
        <v>3294</v>
      </c>
      <c r="C67" s="41" t="s">
        <v>2989</v>
      </c>
      <c r="D67" s="60">
        <v>64981140.131338894</v>
      </c>
    </row>
    <row r="68" spans="2:4">
      <c r="B68" s="62" t="s">
        <v>3291</v>
      </c>
      <c r="C68" s="41" t="s">
        <v>2991</v>
      </c>
      <c r="D68" s="60">
        <v>0</v>
      </c>
    </row>
    <row r="69" spans="2:4">
      <c r="B69" s="62" t="s">
        <v>3292</v>
      </c>
      <c r="C69" s="41" t="s">
        <v>2993</v>
      </c>
      <c r="D69" s="60">
        <v>61535311.651945852</v>
      </c>
    </row>
    <row r="70" spans="2:4">
      <c r="B70" s="62" t="s">
        <v>3293</v>
      </c>
      <c r="C70" s="41" t="s">
        <v>2995</v>
      </c>
      <c r="D70" s="60">
        <v>3445828.4793930454</v>
      </c>
    </row>
    <row r="71" spans="2:4">
      <c r="B71" s="49" t="s">
        <v>3295</v>
      </c>
      <c r="C71" s="41" t="s">
        <v>2997</v>
      </c>
      <c r="D71" s="60">
        <v>138921427.2793839</v>
      </c>
    </row>
    <row r="72" spans="2:4">
      <c r="B72" s="61" t="s">
        <v>3296</v>
      </c>
      <c r="C72" s="41" t="s">
        <v>2999</v>
      </c>
      <c r="D72" s="60">
        <v>104317882.34626521</v>
      </c>
    </row>
    <row r="73" spans="2:4">
      <c r="B73" s="62" t="s">
        <v>3291</v>
      </c>
      <c r="C73" s="41" t="s">
        <v>3001</v>
      </c>
      <c r="D73" s="60">
        <v>0</v>
      </c>
    </row>
    <row r="74" spans="2:4">
      <c r="B74" s="62" t="s">
        <v>3292</v>
      </c>
      <c r="C74" s="41" t="s">
        <v>3003</v>
      </c>
      <c r="D74" s="60">
        <v>101948733.90105143</v>
      </c>
    </row>
    <row r="75" spans="2:4">
      <c r="B75" s="62" t="s">
        <v>3293</v>
      </c>
      <c r="C75" s="41" t="s">
        <v>3005</v>
      </c>
      <c r="D75" s="60">
        <v>2369148.4452137807</v>
      </c>
    </row>
    <row r="76" spans="2:4">
      <c r="B76" s="61" t="s">
        <v>3297</v>
      </c>
      <c r="C76" s="41" t="s">
        <v>3007</v>
      </c>
      <c r="D76" s="60">
        <v>34603544.933118686</v>
      </c>
    </row>
    <row r="77" spans="2:4">
      <c r="B77" s="62" t="s">
        <v>3291</v>
      </c>
      <c r="C77" s="41" t="s">
        <v>3009</v>
      </c>
      <c r="D77" s="60">
        <v>0</v>
      </c>
    </row>
    <row r="78" spans="2:4">
      <c r="B78" s="62" t="s">
        <v>3292</v>
      </c>
      <c r="C78" s="41" t="s">
        <v>3011</v>
      </c>
      <c r="D78" s="60">
        <v>32267504.336756539</v>
      </c>
    </row>
    <row r="79" spans="2:4">
      <c r="B79" s="62" t="s">
        <v>3293</v>
      </c>
      <c r="C79" s="41" t="s">
        <v>3013</v>
      </c>
      <c r="D79" s="60">
        <v>2336040.5963621498</v>
      </c>
    </row>
    <row r="80" spans="2:4">
      <c r="B80" s="49" t="s">
        <v>3298</v>
      </c>
      <c r="C80" s="41" t="s">
        <v>3015</v>
      </c>
      <c r="D80" s="60">
        <v>0</v>
      </c>
    </row>
    <row r="81" spans="2:4">
      <c r="B81" s="61" t="s">
        <v>3291</v>
      </c>
      <c r="C81" s="41" t="s">
        <v>3064</v>
      </c>
      <c r="D81" s="60">
        <v>0</v>
      </c>
    </row>
    <row r="82" spans="2:4">
      <c r="B82" s="61" t="s">
        <v>3292</v>
      </c>
      <c r="C82" s="41" t="s">
        <v>3066</v>
      </c>
      <c r="D82" s="60">
        <v>0</v>
      </c>
    </row>
    <row r="83" spans="2:4">
      <c r="B83" s="61" t="s">
        <v>3293</v>
      </c>
      <c r="C83" s="41" t="s">
        <v>3068</v>
      </c>
      <c r="D83" s="60">
        <v>0</v>
      </c>
    </row>
    <row r="84" spans="2:4">
      <c r="B84" s="49" t="s">
        <v>3299</v>
      </c>
      <c r="C84" s="44" t="s">
        <v>3070</v>
      </c>
      <c r="D84" s="46"/>
    </row>
    <row r="85" spans="2:4">
      <c r="B85" s="49" t="s">
        <v>2698</v>
      </c>
      <c r="C85" s="41" t="s">
        <v>3017</v>
      </c>
      <c r="D85" s="60">
        <v>0</v>
      </c>
    </row>
    <row r="86" spans="2:4">
      <c r="B86" s="49" t="s">
        <v>3300</v>
      </c>
      <c r="C86" s="41" t="s">
        <v>3019</v>
      </c>
      <c r="D86" s="60">
        <v>335622096.01999998</v>
      </c>
    </row>
    <row r="87" spans="2:4">
      <c r="B87" s="49" t="s">
        <v>3301</v>
      </c>
      <c r="C87" s="41" t="s">
        <v>3021</v>
      </c>
      <c r="D87" s="60">
        <v>41692.359999999404</v>
      </c>
    </row>
    <row r="88" spans="2:4">
      <c r="B88" s="49" t="s">
        <v>3302</v>
      </c>
      <c r="C88" s="41" t="s">
        <v>3023</v>
      </c>
      <c r="D88" s="60">
        <v>0</v>
      </c>
    </row>
    <row r="89" spans="2:4">
      <c r="B89" s="49" t="s">
        <v>3303</v>
      </c>
      <c r="C89" s="41" t="s">
        <v>3072</v>
      </c>
      <c r="D89" s="60">
        <v>0</v>
      </c>
    </row>
    <row r="90" spans="2:4">
      <c r="B90" s="49" t="s">
        <v>2481</v>
      </c>
      <c r="C90" s="41" t="s">
        <v>3118</v>
      </c>
      <c r="D90" s="60">
        <v>837906</v>
      </c>
    </row>
    <row r="91" spans="2:4">
      <c r="B91" s="49" t="s">
        <v>3304</v>
      </c>
      <c r="C91" s="41" t="s">
        <v>3120</v>
      </c>
      <c r="D91" s="60">
        <v>0</v>
      </c>
    </row>
    <row r="92" spans="2:4">
      <c r="B92" s="49" t="s">
        <v>3305</v>
      </c>
      <c r="C92" s="41" t="s">
        <v>3122</v>
      </c>
      <c r="D92" s="60">
        <v>17454005.390000001</v>
      </c>
    </row>
    <row r="93" spans="2:4">
      <c r="B93" s="49" t="s">
        <v>3306</v>
      </c>
      <c r="C93" s="41" t="s">
        <v>3124</v>
      </c>
      <c r="D93" s="60">
        <v>131323507.81712115</v>
      </c>
    </row>
    <row r="94" spans="2:4">
      <c r="B94" s="49" t="s">
        <v>3307</v>
      </c>
      <c r="C94" s="41" t="s">
        <v>3126</v>
      </c>
      <c r="D94" s="60">
        <v>0</v>
      </c>
    </row>
    <row r="95" spans="2:4">
      <c r="B95" s="49" t="s">
        <v>3308</v>
      </c>
      <c r="C95" s="41" t="s">
        <v>3128</v>
      </c>
      <c r="D95" s="60">
        <v>9921523.1799999978</v>
      </c>
    </row>
    <row r="96" spans="2:4">
      <c r="B96" s="49" t="s">
        <v>3309</v>
      </c>
      <c r="C96" s="41" t="s">
        <v>3130</v>
      </c>
      <c r="D96" s="60">
        <v>1418246913.9712992</v>
      </c>
    </row>
    <row r="97" spans="2:10">
      <c r="B97" s="61" t="s">
        <v>3310</v>
      </c>
      <c r="C97" s="41" t="s">
        <v>3132</v>
      </c>
      <c r="D97" s="60">
        <v>0</v>
      </c>
    </row>
    <row r="98" spans="2:10">
      <c r="B98" s="61" t="s">
        <v>3311</v>
      </c>
      <c r="C98" s="41" t="s">
        <v>3134</v>
      </c>
      <c r="D98" s="60">
        <v>1418246913.9712992</v>
      </c>
    </row>
    <row r="99" spans="2:10">
      <c r="B99" s="49" t="s">
        <v>3312</v>
      </c>
      <c r="C99" s="41" t="s">
        <v>3136</v>
      </c>
      <c r="D99" s="60">
        <v>56129250.210000001</v>
      </c>
    </row>
    <row r="100" spans="2:10">
      <c r="B100" s="49" t="s">
        <v>3313</v>
      </c>
      <c r="C100" s="41" t="s">
        <v>3140</v>
      </c>
      <c r="D100" s="60">
        <v>3403579268.4580059</v>
      </c>
    </row>
    <row r="101" spans="2:10">
      <c r="B101" s="47" t="s">
        <v>3314</v>
      </c>
      <c r="C101" s="41" t="s">
        <v>3315</v>
      </c>
      <c r="D101" s="60">
        <v>5032925787.6078062</v>
      </c>
    </row>
    <row r="103" spans="2:10">
      <c r="I103" s="13"/>
      <c r="J103" s="13"/>
    </row>
  </sheetData>
  <mergeCells count="4">
    <mergeCell ref="B2:O2"/>
    <mergeCell ref="B5:L5"/>
    <mergeCell ref="D9:D10"/>
    <mergeCell ref="D11:D1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D9C7D-7BEF-4017-9CFC-6B5962023E68}">
  <sheetPr codeName="Blad32"/>
  <dimension ref="B2:O98"/>
  <sheetViews>
    <sheetView showGridLines="0" workbookViewId="0"/>
  </sheetViews>
  <sheetFormatPr defaultRowHeight="15"/>
  <cols>
    <col min="2" max="2" width="78.85546875" bestFit="1" customWidth="1"/>
    <col min="4" max="5" width="15.7109375" customWidth="1"/>
  </cols>
  <sheetData>
    <row r="2" spans="2:15" ht="23.25">
      <c r="B2" s="86" t="s">
        <v>544</v>
      </c>
      <c r="C2" s="87"/>
      <c r="D2" s="87"/>
      <c r="E2" s="87"/>
      <c r="F2" s="87"/>
      <c r="G2" s="87"/>
      <c r="H2" s="87"/>
      <c r="I2" s="87"/>
      <c r="J2" s="87"/>
      <c r="K2" s="87"/>
      <c r="L2" s="87"/>
      <c r="M2" s="87"/>
      <c r="N2" s="87"/>
      <c r="O2" s="87"/>
    </row>
    <row r="5" spans="2:15" ht="18.75">
      <c r="B5" s="88" t="s">
        <v>3317</v>
      </c>
      <c r="C5" s="87"/>
      <c r="D5" s="87"/>
      <c r="E5" s="87"/>
      <c r="F5" s="87"/>
      <c r="G5" s="87"/>
      <c r="H5" s="87"/>
      <c r="I5" s="87"/>
      <c r="J5" s="87"/>
      <c r="K5" s="87"/>
      <c r="L5" s="87"/>
    </row>
    <row r="9" spans="2:15">
      <c r="D9" s="92" t="s">
        <v>2877</v>
      </c>
      <c r="E9" s="94"/>
    </row>
    <row r="10" spans="2:15">
      <c r="D10" s="95"/>
      <c r="E10" s="97"/>
    </row>
    <row r="11" spans="2:15">
      <c r="D11" s="89" t="s">
        <v>3250</v>
      </c>
      <c r="E11" s="89" t="s">
        <v>3318</v>
      </c>
    </row>
    <row r="12" spans="2:15">
      <c r="D12" s="90"/>
      <c r="E12" s="90"/>
    </row>
    <row r="13" spans="2:15">
      <c r="D13" s="90"/>
      <c r="E13" s="90"/>
    </row>
    <row r="14" spans="2:15">
      <c r="D14" s="91"/>
      <c r="E14" s="91"/>
    </row>
    <row r="15" spans="2:15">
      <c r="D15" s="45" t="s">
        <v>2879</v>
      </c>
      <c r="E15" s="45" t="s">
        <v>3219</v>
      </c>
      <c r="J15" s="13" t="str">
        <f>Show!$B$28&amp;"S.02.01.07.01 Rows {"&amp;COLUMN($C$1)&amp;"}"&amp;"@ForceFilingCode:true"</f>
        <v>!S.02.01.07.01 Rows {3}@ForceFilingCode:true</v>
      </c>
      <c r="K15" s="13" t="str">
        <f>Show!$B$28&amp;"S.02.01.07.01 Columns {"&amp;COLUMN($D$1)&amp;"}"</f>
        <v>!S.02.01.07.01 Columns {4}</v>
      </c>
    </row>
    <row r="16" spans="2:15">
      <c r="B16" s="43" t="s">
        <v>2880</v>
      </c>
      <c r="C16" s="44" t="s">
        <v>2878</v>
      </c>
      <c r="D16" s="58"/>
      <c r="E16" s="59"/>
    </row>
    <row r="17" spans="2:5">
      <c r="B17" s="47" t="s">
        <v>3252</v>
      </c>
      <c r="C17" s="44" t="s">
        <v>2878</v>
      </c>
      <c r="D17" s="58"/>
      <c r="E17" s="57"/>
    </row>
    <row r="18" spans="2:5">
      <c r="B18" s="49" t="s">
        <v>3253</v>
      </c>
      <c r="C18" s="44" t="s">
        <v>2883</v>
      </c>
      <c r="D18" s="48"/>
      <c r="E18" s="60"/>
    </row>
    <row r="19" spans="2:5">
      <c r="B19" s="49" t="s">
        <v>3254</v>
      </c>
      <c r="C19" s="44" t="s">
        <v>2885</v>
      </c>
      <c r="D19" s="46"/>
      <c r="E19" s="60"/>
    </row>
    <row r="20" spans="2:5">
      <c r="B20" s="49" t="s">
        <v>3255</v>
      </c>
      <c r="C20" s="41" t="s">
        <v>2887</v>
      </c>
      <c r="D20" s="60"/>
      <c r="E20" s="60"/>
    </row>
    <row r="21" spans="2:5">
      <c r="B21" s="49" t="s">
        <v>3256</v>
      </c>
      <c r="C21" s="41" t="s">
        <v>2889</v>
      </c>
      <c r="D21" s="60"/>
      <c r="E21" s="60"/>
    </row>
    <row r="22" spans="2:5">
      <c r="B22" s="49" t="s">
        <v>3257</v>
      </c>
      <c r="C22" s="41" t="s">
        <v>3078</v>
      </c>
      <c r="D22" s="60"/>
      <c r="E22" s="60"/>
    </row>
    <row r="23" spans="2:5">
      <c r="B23" s="49" t="s">
        <v>3258</v>
      </c>
      <c r="C23" s="41" t="s">
        <v>2891</v>
      </c>
      <c r="D23" s="60"/>
      <c r="E23" s="60"/>
    </row>
    <row r="24" spans="2:5">
      <c r="B24" s="49" t="s">
        <v>3259</v>
      </c>
      <c r="C24" s="41" t="s">
        <v>2893</v>
      </c>
      <c r="D24" s="60"/>
      <c r="E24" s="60"/>
    </row>
    <row r="25" spans="2:5">
      <c r="B25" s="61" t="s">
        <v>3260</v>
      </c>
      <c r="C25" s="41" t="s">
        <v>2895</v>
      </c>
      <c r="D25" s="60"/>
      <c r="E25" s="60"/>
    </row>
    <row r="26" spans="2:5">
      <c r="B26" s="61" t="s">
        <v>3261</v>
      </c>
      <c r="C26" s="41" t="s">
        <v>2897</v>
      </c>
      <c r="D26" s="60"/>
      <c r="E26" s="60"/>
    </row>
    <row r="27" spans="2:5">
      <c r="B27" s="61" t="s">
        <v>2480</v>
      </c>
      <c r="C27" s="41" t="s">
        <v>2899</v>
      </c>
      <c r="D27" s="60"/>
      <c r="E27" s="60"/>
    </row>
    <row r="28" spans="2:5">
      <c r="B28" s="62" t="s">
        <v>3262</v>
      </c>
      <c r="C28" s="41" t="s">
        <v>2901</v>
      </c>
      <c r="D28" s="60"/>
      <c r="E28" s="60"/>
    </row>
    <row r="29" spans="2:5">
      <c r="B29" s="62" t="s">
        <v>3263</v>
      </c>
      <c r="C29" s="41" t="s">
        <v>2903</v>
      </c>
      <c r="D29" s="60"/>
      <c r="E29" s="60"/>
    </row>
    <row r="30" spans="2:5">
      <c r="B30" s="61" t="s">
        <v>3264</v>
      </c>
      <c r="C30" s="41" t="s">
        <v>2905</v>
      </c>
      <c r="D30" s="60"/>
      <c r="E30" s="60"/>
    </row>
    <row r="31" spans="2:5">
      <c r="B31" s="62" t="s">
        <v>2372</v>
      </c>
      <c r="C31" s="41" t="s">
        <v>2907</v>
      </c>
      <c r="D31" s="60"/>
      <c r="E31" s="60"/>
    </row>
    <row r="32" spans="2:5">
      <c r="B32" s="62" t="s">
        <v>2373</v>
      </c>
      <c r="C32" s="41" t="s">
        <v>2909</v>
      </c>
      <c r="D32" s="60"/>
      <c r="E32" s="60"/>
    </row>
    <row r="33" spans="2:5">
      <c r="B33" s="62" t="s">
        <v>2377</v>
      </c>
      <c r="C33" s="41" t="s">
        <v>2911</v>
      </c>
      <c r="D33" s="60"/>
      <c r="E33" s="60"/>
    </row>
    <row r="34" spans="2:5">
      <c r="B34" s="62" t="s">
        <v>2378</v>
      </c>
      <c r="C34" s="41" t="s">
        <v>2913</v>
      </c>
      <c r="D34" s="60"/>
      <c r="E34" s="60"/>
    </row>
    <row r="35" spans="2:5">
      <c r="B35" s="61" t="s">
        <v>3265</v>
      </c>
      <c r="C35" s="41" t="s">
        <v>2915</v>
      </c>
      <c r="D35" s="60"/>
      <c r="E35" s="60"/>
    </row>
    <row r="36" spans="2:5">
      <c r="B36" s="61" t="s">
        <v>2481</v>
      </c>
      <c r="C36" s="41" t="s">
        <v>2917</v>
      </c>
      <c r="D36" s="60"/>
      <c r="E36" s="60"/>
    </row>
    <row r="37" spans="2:5">
      <c r="B37" s="61" t="s">
        <v>3266</v>
      </c>
      <c r="C37" s="41" t="s">
        <v>2919</v>
      </c>
      <c r="D37" s="60"/>
      <c r="E37" s="60"/>
    </row>
    <row r="38" spans="2:5">
      <c r="B38" s="61" t="s">
        <v>2382</v>
      </c>
      <c r="C38" s="41" t="s">
        <v>2921</v>
      </c>
      <c r="D38" s="60"/>
      <c r="E38" s="60"/>
    </row>
    <row r="39" spans="2:5">
      <c r="B39" s="49" t="s">
        <v>3267</v>
      </c>
      <c r="C39" s="41" t="s">
        <v>2923</v>
      </c>
      <c r="D39" s="60"/>
      <c r="E39" s="60"/>
    </row>
    <row r="40" spans="2:5">
      <c r="B40" s="49" t="s">
        <v>3268</v>
      </c>
      <c r="C40" s="41" t="s">
        <v>2925</v>
      </c>
      <c r="D40" s="60"/>
      <c r="E40" s="60"/>
    </row>
    <row r="41" spans="2:5">
      <c r="B41" s="61" t="s">
        <v>3269</v>
      </c>
      <c r="C41" s="41" t="s">
        <v>2927</v>
      </c>
      <c r="D41" s="60"/>
      <c r="E41" s="60"/>
    </row>
    <row r="42" spans="2:5">
      <c r="B42" s="61" t="s">
        <v>3270</v>
      </c>
      <c r="C42" s="41" t="s">
        <v>2929</v>
      </c>
      <c r="D42" s="60"/>
      <c r="E42" s="60"/>
    </row>
    <row r="43" spans="2:5">
      <c r="B43" s="61" t="s">
        <v>3271</v>
      </c>
      <c r="C43" s="41" t="s">
        <v>2931</v>
      </c>
      <c r="D43" s="60"/>
      <c r="E43" s="60"/>
    </row>
    <row r="44" spans="2:5">
      <c r="B44" s="49" t="s">
        <v>3272</v>
      </c>
      <c r="C44" s="41" t="s">
        <v>2933</v>
      </c>
      <c r="D44" s="60"/>
      <c r="E44" s="60"/>
    </row>
    <row r="45" spans="2:5">
      <c r="B45" s="61" t="s">
        <v>3273</v>
      </c>
      <c r="C45" s="41" t="s">
        <v>2935</v>
      </c>
      <c r="D45" s="60"/>
      <c r="E45" s="60"/>
    </row>
    <row r="46" spans="2:5">
      <c r="B46" s="62" t="s">
        <v>3274</v>
      </c>
      <c r="C46" s="41" t="s">
        <v>2937</v>
      </c>
      <c r="D46" s="60"/>
      <c r="E46" s="60"/>
    </row>
    <row r="47" spans="2:5">
      <c r="B47" s="62" t="s">
        <v>3275</v>
      </c>
      <c r="C47" s="41" t="s">
        <v>2939</v>
      </c>
      <c r="D47" s="60"/>
      <c r="E47" s="60"/>
    </row>
    <row r="48" spans="2:5">
      <c r="B48" s="61" t="s">
        <v>3276</v>
      </c>
      <c r="C48" s="41" t="s">
        <v>2941</v>
      </c>
      <c r="D48" s="60"/>
      <c r="E48" s="60"/>
    </row>
    <row r="49" spans="2:5">
      <c r="B49" s="62" t="s">
        <v>3277</v>
      </c>
      <c r="C49" s="41" t="s">
        <v>2943</v>
      </c>
      <c r="D49" s="60"/>
      <c r="E49" s="60"/>
    </row>
    <row r="50" spans="2:5">
      <c r="B50" s="62" t="s">
        <v>3278</v>
      </c>
      <c r="C50" s="41" t="s">
        <v>2945</v>
      </c>
      <c r="D50" s="60"/>
      <c r="E50" s="60"/>
    </row>
    <row r="51" spans="2:5">
      <c r="B51" s="61" t="s">
        <v>3279</v>
      </c>
      <c r="C51" s="41" t="s">
        <v>2947</v>
      </c>
      <c r="D51" s="60"/>
      <c r="E51" s="60"/>
    </row>
    <row r="52" spans="2:5">
      <c r="B52" s="49" t="s">
        <v>3280</v>
      </c>
      <c r="C52" s="41" t="s">
        <v>2949</v>
      </c>
      <c r="D52" s="60"/>
      <c r="E52" s="60"/>
    </row>
    <row r="53" spans="2:5">
      <c r="B53" s="49" t="s">
        <v>3281</v>
      </c>
      <c r="C53" s="41" t="s">
        <v>2951</v>
      </c>
      <c r="D53" s="60"/>
      <c r="E53" s="60"/>
    </row>
    <row r="54" spans="2:5">
      <c r="B54" s="49" t="s">
        <v>3282</v>
      </c>
      <c r="C54" s="41" t="s">
        <v>2953</v>
      </c>
      <c r="D54" s="60"/>
      <c r="E54" s="60"/>
    </row>
    <row r="55" spans="2:5">
      <c r="B55" s="49" t="s">
        <v>3283</v>
      </c>
      <c r="C55" s="41" t="s">
        <v>2955</v>
      </c>
      <c r="D55" s="60"/>
      <c r="E55" s="60"/>
    </row>
    <row r="56" spans="2:5">
      <c r="B56" s="49" t="s">
        <v>3286</v>
      </c>
      <c r="C56" s="41" t="s">
        <v>2961</v>
      </c>
      <c r="D56" s="60"/>
      <c r="E56" s="60"/>
    </row>
    <row r="57" spans="2:5">
      <c r="B57" s="49" t="s">
        <v>3287</v>
      </c>
      <c r="C57" s="41" t="s">
        <v>2963</v>
      </c>
      <c r="D57" s="60"/>
      <c r="E57" s="60"/>
    </row>
    <row r="58" spans="2:5">
      <c r="B58" s="49" t="s">
        <v>3288</v>
      </c>
      <c r="C58" s="41" t="s">
        <v>2977</v>
      </c>
      <c r="D58" s="63"/>
      <c r="E58" s="63"/>
    </row>
    <row r="59" spans="2:5">
      <c r="B59" s="47" t="s">
        <v>2389</v>
      </c>
      <c r="C59" s="44" t="s">
        <v>2878</v>
      </c>
      <c r="D59" s="56"/>
      <c r="E59" s="57"/>
    </row>
    <row r="60" spans="2:5">
      <c r="B60" s="49" t="s">
        <v>3289</v>
      </c>
      <c r="C60" s="41" t="s">
        <v>2979</v>
      </c>
      <c r="D60" s="60"/>
      <c r="E60" s="60"/>
    </row>
    <row r="61" spans="2:5">
      <c r="B61" s="61" t="s">
        <v>3290</v>
      </c>
      <c r="C61" s="41" t="s">
        <v>2981</v>
      </c>
      <c r="D61" s="60"/>
      <c r="E61" s="63"/>
    </row>
    <row r="62" spans="2:5">
      <c r="B62" s="62" t="s">
        <v>3291</v>
      </c>
      <c r="C62" s="41" t="s">
        <v>2983</v>
      </c>
      <c r="D62" s="64"/>
      <c r="E62" s="48"/>
    </row>
    <row r="63" spans="2:5">
      <c r="B63" s="62" t="s">
        <v>3292</v>
      </c>
      <c r="C63" s="41" t="s">
        <v>2985</v>
      </c>
      <c r="D63" s="64"/>
      <c r="E63" s="48"/>
    </row>
    <row r="64" spans="2:5">
      <c r="B64" s="62" t="s">
        <v>3293</v>
      </c>
      <c r="C64" s="41" t="s">
        <v>2987</v>
      </c>
      <c r="D64" s="64"/>
      <c r="E64" s="46"/>
    </row>
    <row r="65" spans="2:5">
      <c r="B65" s="61" t="s">
        <v>3294</v>
      </c>
      <c r="C65" s="41" t="s">
        <v>2989</v>
      </c>
      <c r="D65" s="60"/>
      <c r="E65" s="63"/>
    </row>
    <row r="66" spans="2:5">
      <c r="B66" s="62" t="s">
        <v>3291</v>
      </c>
      <c r="C66" s="41" t="s">
        <v>2991</v>
      </c>
      <c r="D66" s="64"/>
      <c r="E66" s="48"/>
    </row>
    <row r="67" spans="2:5">
      <c r="B67" s="62" t="s">
        <v>3292</v>
      </c>
      <c r="C67" s="41" t="s">
        <v>2993</v>
      </c>
      <c r="D67" s="64"/>
      <c r="E67" s="48"/>
    </row>
    <row r="68" spans="2:5">
      <c r="B68" s="62" t="s">
        <v>3293</v>
      </c>
      <c r="C68" s="41" t="s">
        <v>2995</v>
      </c>
      <c r="D68" s="64"/>
      <c r="E68" s="46"/>
    </row>
    <row r="69" spans="2:5">
      <c r="B69" s="49" t="s">
        <v>3295</v>
      </c>
      <c r="C69" s="41" t="s">
        <v>2997</v>
      </c>
      <c r="D69" s="60"/>
      <c r="E69" s="60"/>
    </row>
    <row r="70" spans="2:5">
      <c r="B70" s="61" t="s">
        <v>3296</v>
      </c>
      <c r="C70" s="41" t="s">
        <v>2999</v>
      </c>
      <c r="D70" s="60"/>
      <c r="E70" s="63"/>
    </row>
    <row r="71" spans="2:5">
      <c r="B71" s="62" t="s">
        <v>3291</v>
      </c>
      <c r="C71" s="41" t="s">
        <v>3001</v>
      </c>
      <c r="D71" s="64"/>
      <c r="E71" s="48"/>
    </row>
    <row r="72" spans="2:5">
      <c r="B72" s="62" t="s">
        <v>3292</v>
      </c>
      <c r="C72" s="41" t="s">
        <v>3003</v>
      </c>
      <c r="D72" s="64"/>
      <c r="E72" s="48"/>
    </row>
    <row r="73" spans="2:5">
      <c r="B73" s="62" t="s">
        <v>3293</v>
      </c>
      <c r="C73" s="41" t="s">
        <v>3005</v>
      </c>
      <c r="D73" s="64"/>
      <c r="E73" s="46"/>
    </row>
    <row r="74" spans="2:5">
      <c r="B74" s="61" t="s">
        <v>3297</v>
      </c>
      <c r="C74" s="41" t="s">
        <v>3007</v>
      </c>
      <c r="D74" s="60"/>
      <c r="E74" s="63"/>
    </row>
    <row r="75" spans="2:5">
      <c r="B75" s="62" t="s">
        <v>3291</v>
      </c>
      <c r="C75" s="41" t="s">
        <v>3009</v>
      </c>
      <c r="D75" s="64"/>
      <c r="E75" s="48"/>
    </row>
    <row r="76" spans="2:5">
      <c r="B76" s="62" t="s">
        <v>3292</v>
      </c>
      <c r="C76" s="41" t="s">
        <v>3011</v>
      </c>
      <c r="D76" s="64"/>
      <c r="E76" s="48"/>
    </row>
    <row r="77" spans="2:5">
      <c r="B77" s="62" t="s">
        <v>3293</v>
      </c>
      <c r="C77" s="41" t="s">
        <v>3013</v>
      </c>
      <c r="D77" s="64"/>
      <c r="E77" s="46"/>
    </row>
    <row r="78" spans="2:5">
      <c r="B78" s="49" t="s">
        <v>3298</v>
      </c>
      <c r="C78" s="41" t="s">
        <v>3015</v>
      </c>
      <c r="D78" s="60"/>
      <c r="E78" s="63"/>
    </row>
    <row r="79" spans="2:5">
      <c r="B79" s="61" t="s">
        <v>3291</v>
      </c>
      <c r="C79" s="41" t="s">
        <v>3064</v>
      </c>
      <c r="D79" s="64"/>
      <c r="E79" s="48"/>
    </row>
    <row r="80" spans="2:5">
      <c r="B80" s="61" t="s">
        <v>3292</v>
      </c>
      <c r="C80" s="41" t="s">
        <v>3066</v>
      </c>
      <c r="D80" s="64"/>
      <c r="E80" s="48"/>
    </row>
    <row r="81" spans="2:5">
      <c r="B81" s="61" t="s">
        <v>3293</v>
      </c>
      <c r="C81" s="41" t="s">
        <v>3068</v>
      </c>
      <c r="D81" s="65"/>
      <c r="E81" s="46"/>
    </row>
    <row r="82" spans="2:5">
      <c r="B82" s="49" t="s">
        <v>3299</v>
      </c>
      <c r="C82" s="44" t="s">
        <v>3070</v>
      </c>
      <c r="D82" s="46"/>
      <c r="E82" s="60"/>
    </row>
    <row r="83" spans="2:5">
      <c r="B83" s="49" t="s">
        <v>2698</v>
      </c>
      <c r="C83" s="41" t="s">
        <v>3017</v>
      </c>
      <c r="D83" s="60"/>
      <c r="E83" s="60"/>
    </row>
    <row r="84" spans="2:5">
      <c r="B84" s="49" t="s">
        <v>3300</v>
      </c>
      <c r="C84" s="41" t="s">
        <v>3019</v>
      </c>
      <c r="D84" s="60"/>
      <c r="E84" s="60"/>
    </row>
    <row r="85" spans="2:5">
      <c r="B85" s="49" t="s">
        <v>3301</v>
      </c>
      <c r="C85" s="41" t="s">
        <v>3021</v>
      </c>
      <c r="D85" s="60"/>
      <c r="E85" s="60"/>
    </row>
    <row r="86" spans="2:5">
      <c r="B86" s="49" t="s">
        <v>3302</v>
      </c>
      <c r="C86" s="41" t="s">
        <v>3023</v>
      </c>
      <c r="D86" s="60"/>
      <c r="E86" s="60"/>
    </row>
    <row r="87" spans="2:5">
      <c r="B87" s="49" t="s">
        <v>3303</v>
      </c>
      <c r="C87" s="41" t="s">
        <v>3072</v>
      </c>
      <c r="D87" s="60"/>
      <c r="E87" s="60"/>
    </row>
    <row r="88" spans="2:5">
      <c r="B88" s="49" t="s">
        <v>2481</v>
      </c>
      <c r="C88" s="41" t="s">
        <v>3118</v>
      </c>
      <c r="D88" s="60"/>
      <c r="E88" s="60"/>
    </row>
    <row r="89" spans="2:5">
      <c r="B89" s="49" t="s">
        <v>3304</v>
      </c>
      <c r="C89" s="41" t="s">
        <v>3120</v>
      </c>
      <c r="D89" s="60"/>
      <c r="E89" s="60"/>
    </row>
    <row r="90" spans="2:5">
      <c r="B90" s="49" t="s">
        <v>3305</v>
      </c>
      <c r="C90" s="41" t="s">
        <v>3122</v>
      </c>
      <c r="D90" s="60"/>
      <c r="E90" s="60"/>
    </row>
    <row r="91" spans="2:5">
      <c r="B91" s="49" t="s">
        <v>3306</v>
      </c>
      <c r="C91" s="41" t="s">
        <v>3124</v>
      </c>
      <c r="D91" s="60"/>
      <c r="E91" s="60"/>
    </row>
    <row r="92" spans="2:5">
      <c r="B92" s="49" t="s">
        <v>3307</v>
      </c>
      <c r="C92" s="41" t="s">
        <v>3126</v>
      </c>
      <c r="D92" s="60"/>
      <c r="E92" s="60"/>
    </row>
    <row r="93" spans="2:5">
      <c r="B93" s="49" t="s">
        <v>3308</v>
      </c>
      <c r="C93" s="41" t="s">
        <v>3128</v>
      </c>
      <c r="D93" s="60"/>
      <c r="E93" s="60"/>
    </row>
    <row r="94" spans="2:5">
      <c r="B94" s="49" t="s">
        <v>3312</v>
      </c>
      <c r="C94" s="41" t="s">
        <v>3136</v>
      </c>
      <c r="D94" s="60"/>
      <c r="E94" s="60"/>
    </row>
    <row r="95" spans="2:5">
      <c r="B95" s="49" t="s">
        <v>3313</v>
      </c>
      <c r="C95" s="41" t="s">
        <v>3140</v>
      </c>
      <c r="D95" s="60"/>
      <c r="E95" s="60"/>
    </row>
    <row r="96" spans="2:5">
      <c r="B96" s="47" t="s">
        <v>3314</v>
      </c>
      <c r="C96" s="41" t="s">
        <v>3315</v>
      </c>
      <c r="D96" s="60"/>
      <c r="E96" s="60"/>
    </row>
    <row r="98" spans="10:11">
      <c r="J98" s="13" t="str">
        <f>Show!$B$28&amp;Show!$B$28&amp;"S.02.01.07.01 Rows {"&amp;COLUMN($C$1)&amp;"}"</f>
        <v>!!S.02.01.07.01 Rows {3}</v>
      </c>
      <c r="K98" s="13" t="str">
        <f>Show!$B$28&amp;Show!$B$28&amp;"S.02.01.07.01 Columns {"&amp;COLUMN($E$1)&amp;"}"</f>
        <v>!!S.02.01.07.01 Columns {5}</v>
      </c>
    </row>
  </sheetData>
  <sheetProtection sheet="1" objects="1" scenarios="1"/>
  <mergeCells count="5">
    <mergeCell ref="B2:O2"/>
    <mergeCell ref="B5:L5"/>
    <mergeCell ref="D9:E10"/>
    <mergeCell ref="D11:D14"/>
    <mergeCell ref="E11:E1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4F570-5BD2-4EB2-A659-0700C1780CB9}">
  <sheetPr codeName="Blad33"/>
  <dimension ref="B2:O98"/>
  <sheetViews>
    <sheetView showGridLines="0" workbookViewId="0"/>
  </sheetViews>
  <sheetFormatPr defaultRowHeight="15"/>
  <cols>
    <col min="2" max="2" width="78.85546875" bestFit="1" customWidth="1"/>
    <col min="4" max="4" width="15.7109375" customWidth="1"/>
  </cols>
  <sheetData>
    <row r="2" spans="2:15" ht="23.25">
      <c r="B2" s="86" t="s">
        <v>544</v>
      </c>
      <c r="C2" s="87"/>
      <c r="D2" s="87"/>
      <c r="E2" s="87"/>
      <c r="F2" s="87"/>
      <c r="G2" s="87"/>
      <c r="H2" s="87"/>
      <c r="I2" s="87"/>
      <c r="J2" s="87"/>
      <c r="K2" s="87"/>
      <c r="L2" s="87"/>
      <c r="M2" s="87"/>
      <c r="N2" s="87"/>
      <c r="O2" s="87"/>
    </row>
    <row r="5" spans="2:15" ht="18.75">
      <c r="B5" s="88" t="s">
        <v>3319</v>
      </c>
      <c r="C5" s="87"/>
      <c r="D5" s="87"/>
      <c r="E5" s="87"/>
      <c r="F5" s="87"/>
      <c r="G5" s="87"/>
      <c r="H5" s="87"/>
      <c r="I5" s="87"/>
      <c r="J5" s="87"/>
      <c r="K5" s="87"/>
      <c r="L5" s="87"/>
    </row>
    <row r="9" spans="2:15">
      <c r="D9" s="89" t="s">
        <v>2877</v>
      </c>
    </row>
    <row r="10" spans="2:15">
      <c r="D10" s="91"/>
    </row>
    <row r="11" spans="2:15">
      <c r="D11" s="89" t="s">
        <v>3250</v>
      </c>
    </row>
    <row r="12" spans="2:15">
      <c r="D12" s="90"/>
    </row>
    <row r="13" spans="2:15">
      <c r="D13" s="90"/>
    </row>
    <row r="14" spans="2:15">
      <c r="D14" s="91"/>
    </row>
    <row r="15" spans="2:15">
      <c r="D15" s="45" t="s">
        <v>2879</v>
      </c>
      <c r="I15" s="13" t="str">
        <f>Show!$B$29&amp;"S.02.01.08.01 Rows {"&amp;COLUMN($C$1)&amp;"}"&amp;"@ForceFilingCode:true"</f>
        <v>!S.02.01.08.01 Rows {3}@ForceFilingCode:true</v>
      </c>
      <c r="J15" s="13" t="str">
        <f>Show!$B$29&amp;"S.02.01.08.01 Columns {"&amp;COLUMN($D$1)&amp;"}"</f>
        <v>!S.02.01.08.01 Columns {4}</v>
      </c>
    </row>
    <row r="16" spans="2:15">
      <c r="B16" s="43" t="s">
        <v>2880</v>
      </c>
      <c r="C16" s="44" t="s">
        <v>2878</v>
      </c>
      <c r="D16" s="48"/>
    </row>
    <row r="17" spans="2:4">
      <c r="B17" s="47" t="s">
        <v>3252</v>
      </c>
      <c r="C17" s="44" t="s">
        <v>2878</v>
      </c>
      <c r="D17" s="48"/>
    </row>
    <row r="18" spans="2:4">
      <c r="B18" s="49" t="s">
        <v>3253</v>
      </c>
      <c r="C18" s="44" t="s">
        <v>2883</v>
      </c>
      <c r="D18" s="48"/>
    </row>
    <row r="19" spans="2:4">
      <c r="B19" s="49" t="s">
        <v>3254</v>
      </c>
      <c r="C19" s="44" t="s">
        <v>2885</v>
      </c>
      <c r="D19" s="46"/>
    </row>
    <row r="20" spans="2:4">
      <c r="B20" s="49" t="s">
        <v>3255</v>
      </c>
      <c r="C20" s="41" t="s">
        <v>2887</v>
      </c>
      <c r="D20" s="60"/>
    </row>
    <row r="21" spans="2:4">
      <c r="B21" s="49" t="s">
        <v>3256</v>
      </c>
      <c r="C21" s="41" t="s">
        <v>2889</v>
      </c>
      <c r="D21" s="60"/>
    </row>
    <row r="22" spans="2:4">
      <c r="B22" s="49" t="s">
        <v>3257</v>
      </c>
      <c r="C22" s="41" t="s">
        <v>3078</v>
      </c>
      <c r="D22" s="60"/>
    </row>
    <row r="23" spans="2:4">
      <c r="B23" s="49" t="s">
        <v>3258</v>
      </c>
      <c r="C23" s="41" t="s">
        <v>2891</v>
      </c>
      <c r="D23" s="60"/>
    </row>
    <row r="24" spans="2:4">
      <c r="B24" s="49" t="s">
        <v>3259</v>
      </c>
      <c r="C24" s="41" t="s">
        <v>2893</v>
      </c>
      <c r="D24" s="60"/>
    </row>
    <row r="25" spans="2:4">
      <c r="B25" s="61" t="s">
        <v>3260</v>
      </c>
      <c r="C25" s="41" t="s">
        <v>2895</v>
      </c>
      <c r="D25" s="60"/>
    </row>
    <row r="26" spans="2:4">
      <c r="B26" s="61" t="s">
        <v>3261</v>
      </c>
      <c r="C26" s="41" t="s">
        <v>2897</v>
      </c>
      <c r="D26" s="60"/>
    </row>
    <row r="27" spans="2:4">
      <c r="B27" s="61" t="s">
        <v>2480</v>
      </c>
      <c r="C27" s="41" t="s">
        <v>2899</v>
      </c>
      <c r="D27" s="60"/>
    </row>
    <row r="28" spans="2:4">
      <c r="B28" s="62" t="s">
        <v>3262</v>
      </c>
      <c r="C28" s="41" t="s">
        <v>2901</v>
      </c>
      <c r="D28" s="60"/>
    </row>
    <row r="29" spans="2:4">
      <c r="B29" s="62" t="s">
        <v>3263</v>
      </c>
      <c r="C29" s="41" t="s">
        <v>2903</v>
      </c>
      <c r="D29" s="60"/>
    </row>
    <row r="30" spans="2:4">
      <c r="B30" s="61" t="s">
        <v>3264</v>
      </c>
      <c r="C30" s="41" t="s">
        <v>2905</v>
      </c>
      <c r="D30" s="60"/>
    </row>
    <row r="31" spans="2:4">
      <c r="B31" s="62" t="s">
        <v>2372</v>
      </c>
      <c r="C31" s="41" t="s">
        <v>2907</v>
      </c>
      <c r="D31" s="60"/>
    </row>
    <row r="32" spans="2:4">
      <c r="B32" s="62" t="s">
        <v>2373</v>
      </c>
      <c r="C32" s="41" t="s">
        <v>2909</v>
      </c>
      <c r="D32" s="60"/>
    </row>
    <row r="33" spans="2:4">
      <c r="B33" s="62" t="s">
        <v>2377</v>
      </c>
      <c r="C33" s="41" t="s">
        <v>2911</v>
      </c>
      <c r="D33" s="60"/>
    </row>
    <row r="34" spans="2:4">
      <c r="B34" s="62" t="s">
        <v>2378</v>
      </c>
      <c r="C34" s="41" t="s">
        <v>2913</v>
      </c>
      <c r="D34" s="60"/>
    </row>
    <row r="35" spans="2:4">
      <c r="B35" s="61" t="s">
        <v>3265</v>
      </c>
      <c r="C35" s="41" t="s">
        <v>2915</v>
      </c>
      <c r="D35" s="60"/>
    </row>
    <row r="36" spans="2:4">
      <c r="B36" s="61" t="s">
        <v>2481</v>
      </c>
      <c r="C36" s="41" t="s">
        <v>2917</v>
      </c>
      <c r="D36" s="60"/>
    </row>
    <row r="37" spans="2:4">
      <c r="B37" s="61" t="s">
        <v>3266</v>
      </c>
      <c r="C37" s="41" t="s">
        <v>2919</v>
      </c>
      <c r="D37" s="60"/>
    </row>
    <row r="38" spans="2:4">
      <c r="B38" s="61" t="s">
        <v>2382</v>
      </c>
      <c r="C38" s="41" t="s">
        <v>2921</v>
      </c>
      <c r="D38" s="60"/>
    </row>
    <row r="39" spans="2:4">
      <c r="B39" s="49" t="s">
        <v>3267</v>
      </c>
      <c r="C39" s="41" t="s">
        <v>2923</v>
      </c>
      <c r="D39" s="60"/>
    </row>
    <row r="40" spans="2:4">
      <c r="B40" s="49" t="s">
        <v>3268</v>
      </c>
      <c r="C40" s="41" t="s">
        <v>2925</v>
      </c>
      <c r="D40" s="60"/>
    </row>
    <row r="41" spans="2:4">
      <c r="B41" s="61" t="s">
        <v>3269</v>
      </c>
      <c r="C41" s="41" t="s">
        <v>2927</v>
      </c>
      <c r="D41" s="60"/>
    </row>
    <row r="42" spans="2:4">
      <c r="B42" s="61" t="s">
        <v>3270</v>
      </c>
      <c r="C42" s="41" t="s">
        <v>2929</v>
      </c>
      <c r="D42" s="60"/>
    </row>
    <row r="43" spans="2:4">
      <c r="B43" s="61" t="s">
        <v>3271</v>
      </c>
      <c r="C43" s="41" t="s">
        <v>2931</v>
      </c>
      <c r="D43" s="60"/>
    </row>
    <row r="44" spans="2:4">
      <c r="B44" s="49" t="s">
        <v>3272</v>
      </c>
      <c r="C44" s="41" t="s">
        <v>2933</v>
      </c>
      <c r="D44" s="60"/>
    </row>
    <row r="45" spans="2:4">
      <c r="B45" s="61" t="s">
        <v>3273</v>
      </c>
      <c r="C45" s="41" t="s">
        <v>2935</v>
      </c>
      <c r="D45" s="60"/>
    </row>
    <row r="46" spans="2:4">
      <c r="B46" s="62" t="s">
        <v>3274</v>
      </c>
      <c r="C46" s="41" t="s">
        <v>2937</v>
      </c>
      <c r="D46" s="60"/>
    </row>
    <row r="47" spans="2:4">
      <c r="B47" s="62" t="s">
        <v>3275</v>
      </c>
      <c r="C47" s="41" t="s">
        <v>2939</v>
      </c>
      <c r="D47" s="60"/>
    </row>
    <row r="48" spans="2:4">
      <c r="B48" s="61" t="s">
        <v>3276</v>
      </c>
      <c r="C48" s="41" t="s">
        <v>2941</v>
      </c>
      <c r="D48" s="60"/>
    </row>
    <row r="49" spans="2:4">
      <c r="B49" s="62" t="s">
        <v>3277</v>
      </c>
      <c r="C49" s="41" t="s">
        <v>2943</v>
      </c>
      <c r="D49" s="60"/>
    </row>
    <row r="50" spans="2:4">
      <c r="B50" s="62" t="s">
        <v>3278</v>
      </c>
      <c r="C50" s="41" t="s">
        <v>2945</v>
      </c>
      <c r="D50" s="60"/>
    </row>
    <row r="51" spans="2:4">
      <c r="B51" s="61" t="s">
        <v>3279</v>
      </c>
      <c r="C51" s="41" t="s">
        <v>2947</v>
      </c>
      <c r="D51" s="60"/>
    </row>
    <row r="52" spans="2:4">
      <c r="B52" s="49" t="s">
        <v>3280</v>
      </c>
      <c r="C52" s="41" t="s">
        <v>2949</v>
      </c>
      <c r="D52" s="60"/>
    </row>
    <row r="53" spans="2:4">
      <c r="B53" s="49" t="s">
        <v>3281</v>
      </c>
      <c r="C53" s="41" t="s">
        <v>2951</v>
      </c>
      <c r="D53" s="60"/>
    </row>
    <row r="54" spans="2:4">
      <c r="B54" s="49" t="s">
        <v>3282</v>
      </c>
      <c r="C54" s="41" t="s">
        <v>2953</v>
      </c>
      <c r="D54" s="60"/>
    </row>
    <row r="55" spans="2:4">
      <c r="B55" s="49" t="s">
        <v>3283</v>
      </c>
      <c r="C55" s="41" t="s">
        <v>2955</v>
      </c>
      <c r="D55" s="60"/>
    </row>
    <row r="56" spans="2:4">
      <c r="B56" s="49" t="s">
        <v>3286</v>
      </c>
      <c r="C56" s="41" t="s">
        <v>2961</v>
      </c>
      <c r="D56" s="60"/>
    </row>
    <row r="57" spans="2:4">
      <c r="B57" s="49" t="s">
        <v>3287</v>
      </c>
      <c r="C57" s="41" t="s">
        <v>2963</v>
      </c>
      <c r="D57" s="60"/>
    </row>
    <row r="58" spans="2:4">
      <c r="B58" s="49" t="s">
        <v>3288</v>
      </c>
      <c r="C58" s="41" t="s">
        <v>2977</v>
      </c>
      <c r="D58" s="63"/>
    </row>
    <row r="59" spans="2:4">
      <c r="B59" s="47" t="s">
        <v>2389</v>
      </c>
      <c r="C59" s="44" t="s">
        <v>2878</v>
      </c>
      <c r="D59" s="46"/>
    </row>
    <row r="60" spans="2:4">
      <c r="B60" s="49" t="s">
        <v>3289</v>
      </c>
      <c r="C60" s="41" t="s">
        <v>2979</v>
      </c>
      <c r="D60" s="60"/>
    </row>
    <row r="61" spans="2:4">
      <c r="B61" s="61" t="s">
        <v>3290</v>
      </c>
      <c r="C61" s="41" t="s">
        <v>2981</v>
      </c>
      <c r="D61" s="60"/>
    </row>
    <row r="62" spans="2:4">
      <c r="B62" s="62" t="s">
        <v>3291</v>
      </c>
      <c r="C62" s="41" t="s">
        <v>2983</v>
      </c>
      <c r="D62" s="60"/>
    </row>
    <row r="63" spans="2:4">
      <c r="B63" s="62" t="s">
        <v>3292</v>
      </c>
      <c r="C63" s="41" t="s">
        <v>2985</v>
      </c>
      <c r="D63" s="60"/>
    </row>
    <row r="64" spans="2:4">
      <c r="B64" s="62" t="s">
        <v>3293</v>
      </c>
      <c r="C64" s="41" t="s">
        <v>2987</v>
      </c>
      <c r="D64" s="60"/>
    </row>
    <row r="65" spans="2:4">
      <c r="B65" s="61" t="s">
        <v>3294</v>
      </c>
      <c r="C65" s="41" t="s">
        <v>2989</v>
      </c>
      <c r="D65" s="60"/>
    </row>
    <row r="66" spans="2:4">
      <c r="B66" s="62" t="s">
        <v>3291</v>
      </c>
      <c r="C66" s="41" t="s">
        <v>2991</v>
      </c>
      <c r="D66" s="60"/>
    </row>
    <row r="67" spans="2:4">
      <c r="B67" s="62" t="s">
        <v>3292</v>
      </c>
      <c r="C67" s="41" t="s">
        <v>2993</v>
      </c>
      <c r="D67" s="60"/>
    </row>
    <row r="68" spans="2:4">
      <c r="B68" s="62" t="s">
        <v>3293</v>
      </c>
      <c r="C68" s="41" t="s">
        <v>2995</v>
      </c>
      <c r="D68" s="60"/>
    </row>
    <row r="69" spans="2:4">
      <c r="B69" s="49" t="s">
        <v>3295</v>
      </c>
      <c r="C69" s="41" t="s">
        <v>2997</v>
      </c>
      <c r="D69" s="60"/>
    </row>
    <row r="70" spans="2:4">
      <c r="B70" s="61" t="s">
        <v>3296</v>
      </c>
      <c r="C70" s="41" t="s">
        <v>2999</v>
      </c>
      <c r="D70" s="60"/>
    </row>
    <row r="71" spans="2:4">
      <c r="B71" s="62" t="s">
        <v>3291</v>
      </c>
      <c r="C71" s="41" t="s">
        <v>3001</v>
      </c>
      <c r="D71" s="60"/>
    </row>
    <row r="72" spans="2:4">
      <c r="B72" s="62" t="s">
        <v>3292</v>
      </c>
      <c r="C72" s="41" t="s">
        <v>3003</v>
      </c>
      <c r="D72" s="60"/>
    </row>
    <row r="73" spans="2:4">
      <c r="B73" s="62" t="s">
        <v>3293</v>
      </c>
      <c r="C73" s="41" t="s">
        <v>3005</v>
      </c>
      <c r="D73" s="60"/>
    </row>
    <row r="74" spans="2:4">
      <c r="B74" s="61" t="s">
        <v>3297</v>
      </c>
      <c r="C74" s="41" t="s">
        <v>3007</v>
      </c>
      <c r="D74" s="60"/>
    </row>
    <row r="75" spans="2:4">
      <c r="B75" s="62" t="s">
        <v>3291</v>
      </c>
      <c r="C75" s="41" t="s">
        <v>3009</v>
      </c>
      <c r="D75" s="60"/>
    </row>
    <row r="76" spans="2:4">
      <c r="B76" s="62" t="s">
        <v>3292</v>
      </c>
      <c r="C76" s="41" t="s">
        <v>3011</v>
      </c>
      <c r="D76" s="60"/>
    </row>
    <row r="77" spans="2:4">
      <c r="B77" s="62" t="s">
        <v>3293</v>
      </c>
      <c r="C77" s="41" t="s">
        <v>3013</v>
      </c>
      <c r="D77" s="60"/>
    </row>
    <row r="78" spans="2:4">
      <c r="B78" s="49" t="s">
        <v>3298</v>
      </c>
      <c r="C78" s="41" t="s">
        <v>3015</v>
      </c>
      <c r="D78" s="60"/>
    </row>
    <row r="79" spans="2:4">
      <c r="B79" s="61" t="s">
        <v>3291</v>
      </c>
      <c r="C79" s="41" t="s">
        <v>3064</v>
      </c>
      <c r="D79" s="60"/>
    </row>
    <row r="80" spans="2:4">
      <c r="B80" s="61" t="s">
        <v>3292</v>
      </c>
      <c r="C80" s="41" t="s">
        <v>3066</v>
      </c>
      <c r="D80" s="60"/>
    </row>
    <row r="81" spans="2:4">
      <c r="B81" s="61" t="s">
        <v>3293</v>
      </c>
      <c r="C81" s="41" t="s">
        <v>3068</v>
      </c>
      <c r="D81" s="63"/>
    </row>
    <row r="82" spans="2:4">
      <c r="B82" s="49" t="s">
        <v>3299</v>
      </c>
      <c r="C82" s="44" t="s">
        <v>3070</v>
      </c>
      <c r="D82" s="46"/>
    </row>
    <row r="83" spans="2:4">
      <c r="B83" s="49" t="s">
        <v>2698</v>
      </c>
      <c r="C83" s="41" t="s">
        <v>3017</v>
      </c>
      <c r="D83" s="60"/>
    </row>
    <row r="84" spans="2:4">
      <c r="B84" s="49" t="s">
        <v>3300</v>
      </c>
      <c r="C84" s="41" t="s">
        <v>3019</v>
      </c>
      <c r="D84" s="60"/>
    </row>
    <row r="85" spans="2:4">
      <c r="B85" s="49" t="s">
        <v>3301</v>
      </c>
      <c r="C85" s="41" t="s">
        <v>3021</v>
      </c>
      <c r="D85" s="60"/>
    </row>
    <row r="86" spans="2:4">
      <c r="B86" s="49" t="s">
        <v>3302</v>
      </c>
      <c r="C86" s="41" t="s">
        <v>3023</v>
      </c>
      <c r="D86" s="60"/>
    </row>
    <row r="87" spans="2:4">
      <c r="B87" s="49" t="s">
        <v>3303</v>
      </c>
      <c r="C87" s="41" t="s">
        <v>3072</v>
      </c>
      <c r="D87" s="60"/>
    </row>
    <row r="88" spans="2:4">
      <c r="B88" s="49" t="s">
        <v>2481</v>
      </c>
      <c r="C88" s="41" t="s">
        <v>3118</v>
      </c>
      <c r="D88" s="60"/>
    </row>
    <row r="89" spans="2:4">
      <c r="B89" s="49" t="s">
        <v>3304</v>
      </c>
      <c r="C89" s="41" t="s">
        <v>3120</v>
      </c>
      <c r="D89" s="60"/>
    </row>
    <row r="90" spans="2:4">
      <c r="B90" s="49" t="s">
        <v>3305</v>
      </c>
      <c r="C90" s="41" t="s">
        <v>3122</v>
      </c>
      <c r="D90" s="60"/>
    </row>
    <row r="91" spans="2:4">
      <c r="B91" s="49" t="s">
        <v>3306</v>
      </c>
      <c r="C91" s="41" t="s">
        <v>3124</v>
      </c>
      <c r="D91" s="60"/>
    </row>
    <row r="92" spans="2:4">
      <c r="B92" s="49" t="s">
        <v>3307</v>
      </c>
      <c r="C92" s="41" t="s">
        <v>3126</v>
      </c>
      <c r="D92" s="60"/>
    </row>
    <row r="93" spans="2:4">
      <c r="B93" s="49" t="s">
        <v>3308</v>
      </c>
      <c r="C93" s="41" t="s">
        <v>3128</v>
      </c>
      <c r="D93" s="60"/>
    </row>
    <row r="94" spans="2:4">
      <c r="B94" s="49" t="s">
        <v>3312</v>
      </c>
      <c r="C94" s="41" t="s">
        <v>3136</v>
      </c>
      <c r="D94" s="60"/>
    </row>
    <row r="95" spans="2:4">
      <c r="B95" s="49" t="s">
        <v>3313</v>
      </c>
      <c r="C95" s="41" t="s">
        <v>3140</v>
      </c>
      <c r="D95" s="60"/>
    </row>
    <row r="96" spans="2:4">
      <c r="B96" s="47" t="s">
        <v>3314</v>
      </c>
      <c r="C96" s="41" t="s">
        <v>3315</v>
      </c>
      <c r="D96" s="60"/>
    </row>
    <row r="98" spans="9:10">
      <c r="I98" s="13" t="str">
        <f>Show!$B$29&amp;Show!$B$29&amp;"S.02.01.08.01 Rows {"&amp;COLUMN($C$1)&amp;"}"</f>
        <v>!!S.02.01.08.01 Rows {3}</v>
      </c>
      <c r="J98" s="13" t="str">
        <f>Show!$B$29&amp;Show!$B$29&amp;"S.02.01.08.01 Columns {"&amp;COLUMN($D$1)&amp;"}"</f>
        <v>!!S.02.01.08.01 Columns {4}</v>
      </c>
    </row>
  </sheetData>
  <sheetProtection sheet="1" objects="1" scenarios="1"/>
  <mergeCells count="4">
    <mergeCell ref="B2:O2"/>
    <mergeCell ref="B5:L5"/>
    <mergeCell ref="D9:D10"/>
    <mergeCell ref="D11:D1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11B12-A5B1-4E28-9276-B3D6125F8F20}">
  <sheetPr codeName="Blad34"/>
  <dimension ref="B2:O107"/>
  <sheetViews>
    <sheetView showGridLines="0" workbookViewId="0"/>
  </sheetViews>
  <sheetFormatPr defaultRowHeight="15"/>
  <cols>
    <col min="2" max="2" width="82.28515625" bestFit="1" customWidth="1"/>
    <col min="4" max="5" width="15.7109375" customWidth="1"/>
  </cols>
  <sheetData>
    <row r="2" spans="2:15" ht="23.25">
      <c r="B2" s="86" t="s">
        <v>544</v>
      </c>
      <c r="C2" s="87"/>
      <c r="D2" s="87"/>
      <c r="E2" s="87"/>
      <c r="F2" s="87"/>
      <c r="G2" s="87"/>
      <c r="H2" s="87"/>
      <c r="I2" s="87"/>
      <c r="J2" s="87"/>
      <c r="K2" s="87"/>
      <c r="L2" s="87"/>
      <c r="M2" s="87"/>
      <c r="N2" s="87"/>
      <c r="O2" s="87"/>
    </row>
    <row r="5" spans="2:15" ht="18.75">
      <c r="B5" s="88" t="s">
        <v>3320</v>
      </c>
      <c r="C5" s="87"/>
      <c r="D5" s="87"/>
      <c r="E5" s="87"/>
      <c r="F5" s="87"/>
      <c r="G5" s="87"/>
      <c r="H5" s="87"/>
      <c r="I5" s="87"/>
      <c r="J5" s="87"/>
      <c r="K5" s="87"/>
      <c r="L5" s="87"/>
    </row>
    <row r="7" spans="2:15">
      <c r="B7" t="s">
        <v>3110</v>
      </c>
      <c r="J7" s="13" t="str">
        <f>Show!$B$30&amp;"SR.02.01.01.01 Table label {"&amp;COLUMN($C$1)&amp;"}"</f>
        <v>!SR.02.01.01.01 Table label {3}</v>
      </c>
      <c r="K7" s="13" t="str">
        <f>Show!$B$30&amp;"SR.02.01.01.01 Table value {"&amp;COLUMN($D$1)&amp;"}"</f>
        <v>!SR.02.01.01.01 Table value {4}</v>
      </c>
    </row>
    <row r="8" spans="2:15">
      <c r="B8" t="s">
        <v>3111</v>
      </c>
    </row>
    <row r="9" spans="2:15">
      <c r="B9" s="40" t="s">
        <v>3321</v>
      </c>
      <c r="C9" s="53" t="s">
        <v>3115</v>
      </c>
      <c r="D9" s="51"/>
    </row>
    <row r="10" spans="2:15">
      <c r="B10" s="40" t="s">
        <v>3322</v>
      </c>
      <c r="C10" s="53" t="s">
        <v>3323</v>
      </c>
      <c r="D10" s="50"/>
    </row>
    <row r="11" spans="2:15">
      <c r="J11" s="13" t="str">
        <f>Show!$B$30&amp;Show!$B$30&amp;"SR.02.01.01.01 Table label {"&amp;COLUMN($C$1)&amp;"}"</f>
        <v>!!SR.02.01.01.01 Table label {3}</v>
      </c>
      <c r="K11" s="13" t="str">
        <f>Show!$B$30&amp;Show!$B$30&amp;"SR.02.01.01.01 Table value {"&amp;COLUMN($D$1)&amp;"}"</f>
        <v>!!SR.02.01.01.01 Table value {4}</v>
      </c>
    </row>
    <row r="13" spans="2:15">
      <c r="D13" s="92" t="s">
        <v>2877</v>
      </c>
      <c r="E13" s="94"/>
    </row>
    <row r="14" spans="2:15">
      <c r="D14" s="95"/>
      <c r="E14" s="97"/>
    </row>
    <row r="15" spans="2:15">
      <c r="D15" s="89" t="s">
        <v>3250</v>
      </c>
      <c r="E15" s="89" t="s">
        <v>3251</v>
      </c>
    </row>
    <row r="16" spans="2:15">
      <c r="D16" s="90"/>
      <c r="E16" s="90"/>
    </row>
    <row r="17" spans="2:11">
      <c r="D17" s="90"/>
      <c r="E17" s="90"/>
    </row>
    <row r="18" spans="2:11">
      <c r="D18" s="91"/>
      <c r="E18" s="91"/>
    </row>
    <row r="19" spans="2:11">
      <c r="D19" s="45" t="s">
        <v>2879</v>
      </c>
      <c r="E19" s="45" t="s">
        <v>3219</v>
      </c>
      <c r="J19" s="13" t="str">
        <f>Show!$B$30&amp;"SR.02.01.01.01 Rows {"&amp;COLUMN($C$1)&amp;"}"&amp;"@ForceFilingCode:true"</f>
        <v>!SR.02.01.01.01 Rows {3}@ForceFilingCode:true</v>
      </c>
      <c r="K19" s="13" t="str">
        <f>Show!$B$30&amp;"SR.02.01.01.01 Columns {"&amp;COLUMN($D$1)&amp;"}"</f>
        <v>!SR.02.01.01.01 Columns {4}</v>
      </c>
    </row>
    <row r="20" spans="2:11">
      <c r="B20" s="43" t="s">
        <v>2880</v>
      </c>
      <c r="C20" s="44" t="s">
        <v>2878</v>
      </c>
      <c r="D20" s="58"/>
      <c r="E20" s="59"/>
    </row>
    <row r="21" spans="2:11">
      <c r="B21" s="47" t="s">
        <v>3252</v>
      </c>
      <c r="C21" s="44" t="s">
        <v>2878</v>
      </c>
      <c r="D21" s="58"/>
      <c r="E21" s="57"/>
    </row>
    <row r="22" spans="2:11">
      <c r="B22" s="49" t="s">
        <v>3253</v>
      </c>
      <c r="C22" s="44" t="s">
        <v>2883</v>
      </c>
      <c r="D22" s="48"/>
      <c r="E22" s="60"/>
    </row>
    <row r="23" spans="2:11">
      <c r="B23" s="49" t="s">
        <v>3254</v>
      </c>
      <c r="C23" s="44" t="s">
        <v>2885</v>
      </c>
      <c r="D23" s="46"/>
      <c r="E23" s="60"/>
    </row>
    <row r="24" spans="2:11">
      <c r="B24" s="49" t="s">
        <v>3255</v>
      </c>
      <c r="C24" s="41" t="s">
        <v>2887</v>
      </c>
      <c r="D24" s="60"/>
      <c r="E24" s="60"/>
    </row>
    <row r="25" spans="2:11">
      <c r="B25" s="49" t="s">
        <v>3256</v>
      </c>
      <c r="C25" s="41" t="s">
        <v>2889</v>
      </c>
      <c r="D25" s="60"/>
      <c r="E25" s="60"/>
    </row>
    <row r="26" spans="2:11">
      <c r="B26" s="49" t="s">
        <v>3257</v>
      </c>
      <c r="C26" s="41" t="s">
        <v>3078</v>
      </c>
      <c r="D26" s="60"/>
      <c r="E26" s="60"/>
    </row>
    <row r="27" spans="2:11">
      <c r="B27" s="49" t="s">
        <v>3258</v>
      </c>
      <c r="C27" s="41" t="s">
        <v>2891</v>
      </c>
      <c r="D27" s="60"/>
      <c r="E27" s="60"/>
    </row>
    <row r="28" spans="2:11">
      <c r="B28" s="49" t="s">
        <v>3259</v>
      </c>
      <c r="C28" s="41" t="s">
        <v>2893</v>
      </c>
      <c r="D28" s="60"/>
      <c r="E28" s="60"/>
    </row>
    <row r="29" spans="2:11">
      <c r="B29" s="61" t="s">
        <v>3260</v>
      </c>
      <c r="C29" s="41" t="s">
        <v>2895</v>
      </c>
      <c r="D29" s="60"/>
      <c r="E29" s="60"/>
    </row>
    <row r="30" spans="2:11">
      <c r="B30" s="61" t="s">
        <v>3261</v>
      </c>
      <c r="C30" s="41" t="s">
        <v>2897</v>
      </c>
      <c r="D30" s="60"/>
      <c r="E30" s="60"/>
    </row>
    <row r="31" spans="2:11">
      <c r="B31" s="61" t="s">
        <v>2480</v>
      </c>
      <c r="C31" s="41" t="s">
        <v>2899</v>
      </c>
      <c r="D31" s="60"/>
      <c r="E31" s="60"/>
    </row>
    <row r="32" spans="2:11">
      <c r="B32" s="62" t="s">
        <v>3262</v>
      </c>
      <c r="C32" s="41" t="s">
        <v>2901</v>
      </c>
      <c r="D32" s="60"/>
      <c r="E32" s="60"/>
    </row>
    <row r="33" spans="2:5">
      <c r="B33" s="62" t="s">
        <v>3263</v>
      </c>
      <c r="C33" s="41" t="s">
        <v>2903</v>
      </c>
      <c r="D33" s="60"/>
      <c r="E33" s="60"/>
    </row>
    <row r="34" spans="2:5">
      <c r="B34" s="61" t="s">
        <v>3264</v>
      </c>
      <c r="C34" s="41" t="s">
        <v>2905</v>
      </c>
      <c r="D34" s="60"/>
      <c r="E34" s="60"/>
    </row>
    <row r="35" spans="2:5">
      <c r="B35" s="62" t="s">
        <v>2372</v>
      </c>
      <c r="C35" s="41" t="s">
        <v>2907</v>
      </c>
      <c r="D35" s="60"/>
      <c r="E35" s="60"/>
    </row>
    <row r="36" spans="2:5">
      <c r="B36" s="62" t="s">
        <v>2373</v>
      </c>
      <c r="C36" s="41" t="s">
        <v>2909</v>
      </c>
      <c r="D36" s="60"/>
      <c r="E36" s="60"/>
    </row>
    <row r="37" spans="2:5">
      <c r="B37" s="62" t="s">
        <v>2377</v>
      </c>
      <c r="C37" s="41" t="s">
        <v>2911</v>
      </c>
      <c r="D37" s="60"/>
      <c r="E37" s="60"/>
    </row>
    <row r="38" spans="2:5">
      <c r="B38" s="62" t="s">
        <v>2378</v>
      </c>
      <c r="C38" s="41" t="s">
        <v>2913</v>
      </c>
      <c r="D38" s="60"/>
      <c r="E38" s="60"/>
    </row>
    <row r="39" spans="2:5">
      <c r="B39" s="61" t="s">
        <v>3265</v>
      </c>
      <c r="C39" s="41" t="s">
        <v>2915</v>
      </c>
      <c r="D39" s="60"/>
      <c r="E39" s="60"/>
    </row>
    <row r="40" spans="2:5">
      <c r="B40" s="61" t="s">
        <v>2481</v>
      </c>
      <c r="C40" s="41" t="s">
        <v>2917</v>
      </c>
      <c r="D40" s="60"/>
      <c r="E40" s="60"/>
    </row>
    <row r="41" spans="2:5">
      <c r="B41" s="61" t="s">
        <v>3266</v>
      </c>
      <c r="C41" s="41" t="s">
        <v>2919</v>
      </c>
      <c r="D41" s="60"/>
      <c r="E41" s="60"/>
    </row>
    <row r="42" spans="2:5">
      <c r="B42" s="61" t="s">
        <v>2382</v>
      </c>
      <c r="C42" s="41" t="s">
        <v>2921</v>
      </c>
      <c r="D42" s="60"/>
      <c r="E42" s="60"/>
    </row>
    <row r="43" spans="2:5">
      <c r="B43" s="49" t="s">
        <v>3267</v>
      </c>
      <c r="C43" s="41" t="s">
        <v>2923</v>
      </c>
      <c r="D43" s="60"/>
      <c r="E43" s="60"/>
    </row>
    <row r="44" spans="2:5">
      <c r="B44" s="49" t="s">
        <v>3268</v>
      </c>
      <c r="C44" s="41" t="s">
        <v>2925</v>
      </c>
      <c r="D44" s="60"/>
      <c r="E44" s="60"/>
    </row>
    <row r="45" spans="2:5">
      <c r="B45" s="61" t="s">
        <v>3269</v>
      </c>
      <c r="C45" s="41" t="s">
        <v>2927</v>
      </c>
      <c r="D45" s="60"/>
      <c r="E45" s="60"/>
    </row>
    <row r="46" spans="2:5">
      <c r="B46" s="61" t="s">
        <v>3270</v>
      </c>
      <c r="C46" s="41" t="s">
        <v>2929</v>
      </c>
      <c r="D46" s="60"/>
      <c r="E46" s="60"/>
    </row>
    <row r="47" spans="2:5">
      <c r="B47" s="61" t="s">
        <v>3271</v>
      </c>
      <c r="C47" s="41" t="s">
        <v>2931</v>
      </c>
      <c r="D47" s="60"/>
      <c r="E47" s="60"/>
    </row>
    <row r="48" spans="2:5">
      <c r="B48" s="49" t="s">
        <v>3272</v>
      </c>
      <c r="C48" s="41" t="s">
        <v>2933</v>
      </c>
      <c r="D48" s="60"/>
      <c r="E48" s="60"/>
    </row>
    <row r="49" spans="2:5">
      <c r="B49" s="61" t="s">
        <v>3273</v>
      </c>
      <c r="C49" s="41" t="s">
        <v>2935</v>
      </c>
      <c r="D49" s="60"/>
      <c r="E49" s="60"/>
    </row>
    <row r="50" spans="2:5">
      <c r="B50" s="62" t="s">
        <v>3274</v>
      </c>
      <c r="C50" s="41" t="s">
        <v>2937</v>
      </c>
      <c r="D50" s="60"/>
      <c r="E50" s="60"/>
    </row>
    <row r="51" spans="2:5">
      <c r="B51" s="62" t="s">
        <v>3275</v>
      </c>
      <c r="C51" s="41" t="s">
        <v>2939</v>
      </c>
      <c r="D51" s="60"/>
      <c r="E51" s="60"/>
    </row>
    <row r="52" spans="2:5">
      <c r="B52" s="61" t="s">
        <v>3276</v>
      </c>
      <c r="C52" s="41" t="s">
        <v>2941</v>
      </c>
      <c r="D52" s="60"/>
      <c r="E52" s="60"/>
    </row>
    <row r="53" spans="2:5">
      <c r="B53" s="62" t="s">
        <v>3277</v>
      </c>
      <c r="C53" s="41" t="s">
        <v>2943</v>
      </c>
      <c r="D53" s="60"/>
      <c r="E53" s="60"/>
    </row>
    <row r="54" spans="2:5">
      <c r="B54" s="62" t="s">
        <v>3278</v>
      </c>
      <c r="C54" s="41" t="s">
        <v>2945</v>
      </c>
      <c r="D54" s="60"/>
      <c r="E54" s="60"/>
    </row>
    <row r="55" spans="2:5">
      <c r="B55" s="61" t="s">
        <v>3279</v>
      </c>
      <c r="C55" s="41" t="s">
        <v>2947</v>
      </c>
      <c r="D55" s="60"/>
      <c r="E55" s="60"/>
    </row>
    <row r="56" spans="2:5">
      <c r="B56" s="49" t="s">
        <v>3280</v>
      </c>
      <c r="C56" s="41" t="s">
        <v>2949</v>
      </c>
      <c r="D56" s="60"/>
      <c r="E56" s="60"/>
    </row>
    <row r="57" spans="2:5">
      <c r="B57" s="49" t="s">
        <v>3281</v>
      </c>
      <c r="C57" s="41" t="s">
        <v>2951</v>
      </c>
      <c r="D57" s="60"/>
      <c r="E57" s="60"/>
    </row>
    <row r="58" spans="2:5">
      <c r="B58" s="49" t="s">
        <v>3282</v>
      </c>
      <c r="C58" s="41" t="s">
        <v>2953</v>
      </c>
      <c r="D58" s="60"/>
      <c r="E58" s="60"/>
    </row>
    <row r="59" spans="2:5">
      <c r="B59" s="49" t="s">
        <v>3283</v>
      </c>
      <c r="C59" s="41" t="s">
        <v>2955</v>
      </c>
      <c r="D59" s="60"/>
      <c r="E59" s="60"/>
    </row>
    <row r="60" spans="2:5">
      <c r="B60" s="49" t="s">
        <v>3284</v>
      </c>
      <c r="C60" s="41" t="s">
        <v>2957</v>
      </c>
      <c r="D60" s="60"/>
      <c r="E60" s="60"/>
    </row>
    <row r="61" spans="2:5">
      <c r="B61" s="49" t="s">
        <v>3285</v>
      </c>
      <c r="C61" s="41" t="s">
        <v>2959</v>
      </c>
      <c r="D61" s="60"/>
      <c r="E61" s="60"/>
    </row>
    <row r="62" spans="2:5">
      <c r="B62" s="49" t="s">
        <v>3286</v>
      </c>
      <c r="C62" s="41" t="s">
        <v>2961</v>
      </c>
      <c r="D62" s="60"/>
      <c r="E62" s="60"/>
    </row>
    <row r="63" spans="2:5">
      <c r="B63" s="49" t="s">
        <v>3287</v>
      </c>
      <c r="C63" s="41" t="s">
        <v>2963</v>
      </c>
      <c r="D63" s="60"/>
      <c r="E63" s="60"/>
    </row>
    <row r="64" spans="2:5">
      <c r="B64" s="49" t="s">
        <v>3288</v>
      </c>
      <c r="C64" s="41" t="s">
        <v>2977</v>
      </c>
      <c r="D64" s="63"/>
      <c r="E64" s="63"/>
    </row>
    <row r="65" spans="2:5">
      <c r="B65" s="47" t="s">
        <v>2389</v>
      </c>
      <c r="C65" s="44" t="s">
        <v>2878</v>
      </c>
      <c r="D65" s="56"/>
      <c r="E65" s="57"/>
    </row>
    <row r="66" spans="2:5">
      <c r="B66" s="49" t="s">
        <v>3289</v>
      </c>
      <c r="C66" s="41" t="s">
        <v>2979</v>
      </c>
      <c r="D66" s="60"/>
      <c r="E66" s="60"/>
    </row>
    <row r="67" spans="2:5">
      <c r="B67" s="61" t="s">
        <v>3290</v>
      </c>
      <c r="C67" s="41" t="s">
        <v>2981</v>
      </c>
      <c r="D67" s="60"/>
      <c r="E67" s="63"/>
    </row>
    <row r="68" spans="2:5">
      <c r="B68" s="62" t="s">
        <v>3291</v>
      </c>
      <c r="C68" s="41" t="s">
        <v>2983</v>
      </c>
      <c r="D68" s="64"/>
      <c r="E68" s="48"/>
    </row>
    <row r="69" spans="2:5">
      <c r="B69" s="62" t="s">
        <v>3292</v>
      </c>
      <c r="C69" s="41" t="s">
        <v>2985</v>
      </c>
      <c r="D69" s="64"/>
      <c r="E69" s="48"/>
    </row>
    <row r="70" spans="2:5">
      <c r="B70" s="62" t="s">
        <v>3293</v>
      </c>
      <c r="C70" s="41" t="s">
        <v>2987</v>
      </c>
      <c r="D70" s="64"/>
      <c r="E70" s="46"/>
    </row>
    <row r="71" spans="2:5">
      <c r="B71" s="61" t="s">
        <v>3294</v>
      </c>
      <c r="C71" s="41" t="s">
        <v>2989</v>
      </c>
      <c r="D71" s="60"/>
      <c r="E71" s="63"/>
    </row>
    <row r="72" spans="2:5">
      <c r="B72" s="62" t="s">
        <v>3291</v>
      </c>
      <c r="C72" s="41" t="s">
        <v>2991</v>
      </c>
      <c r="D72" s="64"/>
      <c r="E72" s="48"/>
    </row>
    <row r="73" spans="2:5">
      <c r="B73" s="62" t="s">
        <v>3292</v>
      </c>
      <c r="C73" s="41" t="s">
        <v>2993</v>
      </c>
      <c r="D73" s="64"/>
      <c r="E73" s="48"/>
    </row>
    <row r="74" spans="2:5">
      <c r="B74" s="62" t="s">
        <v>3293</v>
      </c>
      <c r="C74" s="41" t="s">
        <v>2995</v>
      </c>
      <c r="D74" s="64"/>
      <c r="E74" s="46"/>
    </row>
    <row r="75" spans="2:5">
      <c r="B75" s="49" t="s">
        <v>3295</v>
      </c>
      <c r="C75" s="41" t="s">
        <v>2997</v>
      </c>
      <c r="D75" s="60"/>
      <c r="E75" s="60"/>
    </row>
    <row r="76" spans="2:5">
      <c r="B76" s="61" t="s">
        <v>3296</v>
      </c>
      <c r="C76" s="41" t="s">
        <v>2999</v>
      </c>
      <c r="D76" s="60"/>
      <c r="E76" s="63"/>
    </row>
    <row r="77" spans="2:5">
      <c r="B77" s="62" t="s">
        <v>3291</v>
      </c>
      <c r="C77" s="41" t="s">
        <v>3001</v>
      </c>
      <c r="D77" s="64"/>
      <c r="E77" s="48"/>
    </row>
    <row r="78" spans="2:5">
      <c r="B78" s="62" t="s">
        <v>3292</v>
      </c>
      <c r="C78" s="41" t="s">
        <v>3003</v>
      </c>
      <c r="D78" s="64"/>
      <c r="E78" s="48"/>
    </row>
    <row r="79" spans="2:5">
      <c r="B79" s="62" t="s">
        <v>3293</v>
      </c>
      <c r="C79" s="41" t="s">
        <v>3005</v>
      </c>
      <c r="D79" s="64"/>
      <c r="E79" s="46"/>
    </row>
    <row r="80" spans="2:5">
      <c r="B80" s="61" t="s">
        <v>3297</v>
      </c>
      <c r="C80" s="41" t="s">
        <v>3007</v>
      </c>
      <c r="D80" s="60"/>
      <c r="E80" s="63"/>
    </row>
    <row r="81" spans="2:5">
      <c r="B81" s="62" t="s">
        <v>3291</v>
      </c>
      <c r="C81" s="41" t="s">
        <v>3009</v>
      </c>
      <c r="D81" s="64"/>
      <c r="E81" s="48"/>
    </row>
    <row r="82" spans="2:5">
      <c r="B82" s="62" t="s">
        <v>3292</v>
      </c>
      <c r="C82" s="41" t="s">
        <v>3011</v>
      </c>
      <c r="D82" s="64"/>
      <c r="E82" s="48"/>
    </row>
    <row r="83" spans="2:5">
      <c r="B83" s="62" t="s">
        <v>3293</v>
      </c>
      <c r="C83" s="41" t="s">
        <v>3013</v>
      </c>
      <c r="D83" s="64"/>
      <c r="E83" s="46"/>
    </row>
    <row r="84" spans="2:5">
      <c r="B84" s="49" t="s">
        <v>3298</v>
      </c>
      <c r="C84" s="41" t="s">
        <v>3015</v>
      </c>
      <c r="D84" s="60"/>
      <c r="E84" s="63"/>
    </row>
    <row r="85" spans="2:5">
      <c r="B85" s="61" t="s">
        <v>3291</v>
      </c>
      <c r="C85" s="41" t="s">
        <v>3064</v>
      </c>
      <c r="D85" s="64"/>
      <c r="E85" s="48"/>
    </row>
    <row r="86" spans="2:5">
      <c r="B86" s="61" t="s">
        <v>3292</v>
      </c>
      <c r="C86" s="41" t="s">
        <v>3066</v>
      </c>
      <c r="D86" s="64"/>
      <c r="E86" s="48"/>
    </row>
    <row r="87" spans="2:5">
      <c r="B87" s="61" t="s">
        <v>3293</v>
      </c>
      <c r="C87" s="41" t="s">
        <v>3068</v>
      </c>
      <c r="D87" s="65"/>
      <c r="E87" s="46"/>
    </row>
    <row r="88" spans="2:5">
      <c r="B88" s="49" t="s">
        <v>3299</v>
      </c>
      <c r="C88" s="44" t="s">
        <v>3070</v>
      </c>
      <c r="D88" s="46"/>
      <c r="E88" s="60"/>
    </row>
    <row r="89" spans="2:5">
      <c r="B89" s="49" t="s">
        <v>2698</v>
      </c>
      <c r="C89" s="41" t="s">
        <v>3017</v>
      </c>
      <c r="D89" s="60"/>
      <c r="E89" s="60"/>
    </row>
    <row r="90" spans="2:5">
      <c r="B90" s="49" t="s">
        <v>3300</v>
      </c>
      <c r="C90" s="41" t="s">
        <v>3019</v>
      </c>
      <c r="D90" s="60"/>
      <c r="E90" s="60"/>
    </row>
    <row r="91" spans="2:5">
      <c r="B91" s="49" t="s">
        <v>3301</v>
      </c>
      <c r="C91" s="41" t="s">
        <v>3021</v>
      </c>
      <c r="D91" s="60"/>
      <c r="E91" s="60"/>
    </row>
    <row r="92" spans="2:5">
      <c r="B92" s="49" t="s">
        <v>3302</v>
      </c>
      <c r="C92" s="41" t="s">
        <v>3023</v>
      </c>
      <c r="D92" s="60"/>
      <c r="E92" s="60"/>
    </row>
    <row r="93" spans="2:5">
      <c r="B93" s="49" t="s">
        <v>3303</v>
      </c>
      <c r="C93" s="41" t="s">
        <v>3072</v>
      </c>
      <c r="D93" s="60"/>
      <c r="E93" s="60"/>
    </row>
    <row r="94" spans="2:5">
      <c r="B94" s="49" t="s">
        <v>2481</v>
      </c>
      <c r="C94" s="41" t="s">
        <v>3118</v>
      </c>
      <c r="D94" s="60"/>
      <c r="E94" s="60"/>
    </row>
    <row r="95" spans="2:5">
      <c r="B95" s="49" t="s">
        <v>3304</v>
      </c>
      <c r="C95" s="41" t="s">
        <v>3120</v>
      </c>
      <c r="D95" s="60"/>
      <c r="E95" s="60"/>
    </row>
    <row r="96" spans="2:5">
      <c r="B96" s="49" t="s">
        <v>3305</v>
      </c>
      <c r="C96" s="41" t="s">
        <v>3122</v>
      </c>
      <c r="D96" s="60"/>
      <c r="E96" s="60"/>
    </row>
    <row r="97" spans="2:11">
      <c r="B97" s="49" t="s">
        <v>3306</v>
      </c>
      <c r="C97" s="41" t="s">
        <v>3124</v>
      </c>
      <c r="D97" s="60"/>
      <c r="E97" s="60"/>
    </row>
    <row r="98" spans="2:11">
      <c r="B98" s="49" t="s">
        <v>3307</v>
      </c>
      <c r="C98" s="41" t="s">
        <v>3126</v>
      </c>
      <c r="D98" s="60"/>
      <c r="E98" s="60"/>
    </row>
    <row r="99" spans="2:11">
      <c r="B99" s="49" t="s">
        <v>3308</v>
      </c>
      <c r="C99" s="41" t="s">
        <v>3128</v>
      </c>
      <c r="D99" s="60"/>
      <c r="E99" s="60"/>
    </row>
    <row r="100" spans="2:11">
      <c r="B100" s="49" t="s">
        <v>3309</v>
      </c>
      <c r="C100" s="41" t="s">
        <v>3130</v>
      </c>
      <c r="D100" s="60"/>
      <c r="E100" s="60"/>
    </row>
    <row r="101" spans="2:11">
      <c r="B101" s="61" t="s">
        <v>3310</v>
      </c>
      <c r="C101" s="41" t="s">
        <v>3132</v>
      </c>
      <c r="D101" s="60"/>
      <c r="E101" s="60"/>
    </row>
    <row r="102" spans="2:11">
      <c r="B102" s="61" t="s">
        <v>3311</v>
      </c>
      <c r="C102" s="41" t="s">
        <v>3134</v>
      </c>
      <c r="D102" s="60"/>
      <c r="E102" s="60"/>
    </row>
    <row r="103" spans="2:11">
      <c r="B103" s="49" t="s">
        <v>3312</v>
      </c>
      <c r="C103" s="41" t="s">
        <v>3136</v>
      </c>
      <c r="D103" s="60"/>
      <c r="E103" s="60"/>
    </row>
    <row r="104" spans="2:11">
      <c r="B104" s="49" t="s">
        <v>3313</v>
      </c>
      <c r="C104" s="41" t="s">
        <v>3140</v>
      </c>
      <c r="D104" s="60"/>
      <c r="E104" s="60"/>
    </row>
    <row r="105" spans="2:11">
      <c r="B105" s="47" t="s">
        <v>3314</v>
      </c>
      <c r="C105" s="41" t="s">
        <v>3315</v>
      </c>
      <c r="D105" s="60"/>
      <c r="E105" s="60"/>
    </row>
    <row r="107" spans="2:11">
      <c r="J107" s="13" t="str">
        <f>Show!$B$30&amp;Show!$B$30&amp;"SR.02.01.01.01 Rows {"&amp;COLUMN($C$1)&amp;"}"</f>
        <v>!!SR.02.01.01.01 Rows {3}</v>
      </c>
      <c r="K107" s="13" t="str">
        <f>Show!$B$30&amp;Show!$B$30&amp;"SR.02.01.01.01 Columns {"&amp;COLUMN($E$1)&amp;"}"</f>
        <v>!!SR.02.01.01.01 Columns {5}</v>
      </c>
    </row>
  </sheetData>
  <sheetProtection sheet="1" objects="1" scenarios="1"/>
  <mergeCells count="5">
    <mergeCell ref="B2:O2"/>
    <mergeCell ref="B5:L5"/>
    <mergeCell ref="D13:E14"/>
    <mergeCell ref="D15:D18"/>
    <mergeCell ref="E15:E18"/>
  </mergeCells>
  <dataValidations count="1">
    <dataValidation type="list" errorStyle="warning" allowBlank="1" showInputMessage="1" showErrorMessage="1" sqref="D9" xr:uid="{1C88B346-2EE3-4D72-BA27-FD48910907D6}">
      <formula1>hier_PU_30</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0A013-ADE2-4F9A-996B-C6BF6B3EDF17}">
  <sheetPr codeName="Blad35"/>
  <dimension ref="B2:O102"/>
  <sheetViews>
    <sheetView showGridLines="0" workbookViewId="0"/>
  </sheetViews>
  <sheetFormatPr defaultRowHeight="15"/>
  <cols>
    <col min="2" max="2" width="78.85546875" bestFit="1" customWidth="1"/>
    <col min="4" max="5" width="15.7109375" customWidth="1"/>
  </cols>
  <sheetData>
    <row r="2" spans="2:15" ht="23.25">
      <c r="B2" s="86" t="s">
        <v>544</v>
      </c>
      <c r="C2" s="87"/>
      <c r="D2" s="87"/>
      <c r="E2" s="87"/>
      <c r="F2" s="87"/>
      <c r="G2" s="87"/>
      <c r="H2" s="87"/>
      <c r="I2" s="87"/>
      <c r="J2" s="87"/>
      <c r="K2" s="87"/>
      <c r="L2" s="87"/>
      <c r="M2" s="87"/>
      <c r="N2" s="87"/>
      <c r="O2" s="87"/>
    </row>
    <row r="5" spans="2:15" ht="18.75">
      <c r="B5" s="88" t="s">
        <v>3324</v>
      </c>
      <c r="C5" s="87"/>
      <c r="D5" s="87"/>
      <c r="E5" s="87"/>
      <c r="F5" s="87"/>
      <c r="G5" s="87"/>
      <c r="H5" s="87"/>
      <c r="I5" s="87"/>
      <c r="J5" s="87"/>
      <c r="K5" s="87"/>
      <c r="L5" s="87"/>
    </row>
    <row r="7" spans="2:15">
      <c r="B7" t="s">
        <v>3110</v>
      </c>
      <c r="J7" s="13" t="str">
        <f>Show!$B$31&amp;"SR.02.01.07.01 Table label {"&amp;COLUMN($C$1)&amp;"}"</f>
        <v>!SR.02.01.07.01 Table label {3}</v>
      </c>
      <c r="K7" s="13" t="str">
        <f>Show!$B$31&amp;"SR.02.01.07.01 Table value {"&amp;COLUMN($D$1)&amp;"}"</f>
        <v>!SR.02.01.07.01 Table value {4}</v>
      </c>
    </row>
    <row r="8" spans="2:15">
      <c r="B8" t="s">
        <v>3111</v>
      </c>
    </row>
    <row r="9" spans="2:15">
      <c r="B9" s="40" t="s">
        <v>3325</v>
      </c>
      <c r="C9" s="53" t="s">
        <v>3115</v>
      </c>
      <c r="D9" s="51"/>
    </row>
    <row r="10" spans="2:15">
      <c r="B10" s="40" t="s">
        <v>3322</v>
      </c>
      <c r="C10" s="53" t="s">
        <v>3323</v>
      </c>
      <c r="D10" s="50"/>
    </row>
    <row r="11" spans="2:15">
      <c r="J11" s="13" t="str">
        <f>Show!$B$31&amp;Show!$B$31&amp;"SR.02.01.07.01 Table label {"&amp;COLUMN($C$1)&amp;"}"</f>
        <v>!!SR.02.01.07.01 Table label {3}</v>
      </c>
      <c r="K11" s="13" t="str">
        <f>Show!$B$31&amp;Show!$B$31&amp;"SR.02.01.07.01 Table value {"&amp;COLUMN($D$1)&amp;"}"</f>
        <v>!!SR.02.01.07.01 Table value {4}</v>
      </c>
    </row>
    <row r="13" spans="2:15">
      <c r="D13" s="92" t="s">
        <v>2877</v>
      </c>
      <c r="E13" s="94"/>
    </row>
    <row r="14" spans="2:15">
      <c r="D14" s="95"/>
      <c r="E14" s="97"/>
    </row>
    <row r="15" spans="2:15">
      <c r="D15" s="89" t="s">
        <v>3250</v>
      </c>
      <c r="E15" s="89" t="s">
        <v>3318</v>
      </c>
    </row>
    <row r="16" spans="2:15">
      <c r="D16" s="90"/>
      <c r="E16" s="90"/>
    </row>
    <row r="17" spans="2:11">
      <c r="D17" s="90"/>
      <c r="E17" s="90"/>
    </row>
    <row r="18" spans="2:11">
      <c r="D18" s="91"/>
      <c r="E18" s="91"/>
    </row>
    <row r="19" spans="2:11">
      <c r="D19" s="45" t="s">
        <v>2879</v>
      </c>
      <c r="E19" s="45" t="s">
        <v>3219</v>
      </c>
      <c r="J19" s="13" t="str">
        <f>Show!$B$31&amp;"SR.02.01.07.01 Rows {"&amp;COLUMN($C$1)&amp;"}"&amp;"@ForceFilingCode:true"</f>
        <v>!SR.02.01.07.01 Rows {3}@ForceFilingCode:true</v>
      </c>
      <c r="K19" s="13" t="str">
        <f>Show!$B$31&amp;"SR.02.01.07.01 Columns {"&amp;COLUMN($D$1)&amp;"}"</f>
        <v>!SR.02.01.07.01 Columns {4}</v>
      </c>
    </row>
    <row r="20" spans="2:11">
      <c r="B20" s="43" t="s">
        <v>2880</v>
      </c>
      <c r="C20" s="44" t="s">
        <v>2878</v>
      </c>
      <c r="D20" s="58"/>
      <c r="E20" s="59"/>
    </row>
    <row r="21" spans="2:11">
      <c r="B21" s="47" t="s">
        <v>3252</v>
      </c>
      <c r="C21" s="44" t="s">
        <v>2878</v>
      </c>
      <c r="D21" s="58"/>
      <c r="E21" s="57"/>
    </row>
    <row r="22" spans="2:11">
      <c r="B22" s="49" t="s">
        <v>3253</v>
      </c>
      <c r="C22" s="44" t="s">
        <v>2883</v>
      </c>
      <c r="D22" s="48"/>
      <c r="E22" s="60"/>
    </row>
    <row r="23" spans="2:11">
      <c r="B23" s="49" t="s">
        <v>3254</v>
      </c>
      <c r="C23" s="44" t="s">
        <v>2885</v>
      </c>
      <c r="D23" s="46"/>
      <c r="E23" s="60"/>
    </row>
    <row r="24" spans="2:11">
      <c r="B24" s="49" t="s">
        <v>3255</v>
      </c>
      <c r="C24" s="41" t="s">
        <v>2887</v>
      </c>
      <c r="D24" s="60"/>
      <c r="E24" s="60"/>
    </row>
    <row r="25" spans="2:11">
      <c r="B25" s="49" t="s">
        <v>3256</v>
      </c>
      <c r="C25" s="41" t="s">
        <v>2889</v>
      </c>
      <c r="D25" s="60"/>
      <c r="E25" s="60"/>
    </row>
    <row r="26" spans="2:11">
      <c r="B26" s="49" t="s">
        <v>3257</v>
      </c>
      <c r="C26" s="41" t="s">
        <v>3078</v>
      </c>
      <c r="D26" s="60"/>
      <c r="E26" s="60"/>
    </row>
    <row r="27" spans="2:11">
      <c r="B27" s="49" t="s">
        <v>3258</v>
      </c>
      <c r="C27" s="41" t="s">
        <v>2891</v>
      </c>
      <c r="D27" s="60"/>
      <c r="E27" s="60"/>
    </row>
    <row r="28" spans="2:11">
      <c r="B28" s="49" t="s">
        <v>3259</v>
      </c>
      <c r="C28" s="41" t="s">
        <v>2893</v>
      </c>
      <c r="D28" s="60"/>
      <c r="E28" s="60"/>
    </row>
    <row r="29" spans="2:11">
      <c r="B29" s="61" t="s">
        <v>3260</v>
      </c>
      <c r="C29" s="41" t="s">
        <v>2895</v>
      </c>
      <c r="D29" s="60"/>
      <c r="E29" s="60"/>
    </row>
    <row r="30" spans="2:11">
      <c r="B30" s="61" t="s">
        <v>3261</v>
      </c>
      <c r="C30" s="41" t="s">
        <v>2897</v>
      </c>
      <c r="D30" s="60"/>
      <c r="E30" s="60"/>
    </row>
    <row r="31" spans="2:11">
      <c r="B31" s="61" t="s">
        <v>2480</v>
      </c>
      <c r="C31" s="41" t="s">
        <v>2899</v>
      </c>
      <c r="D31" s="60"/>
      <c r="E31" s="60"/>
    </row>
    <row r="32" spans="2:11">
      <c r="B32" s="62" t="s">
        <v>3262</v>
      </c>
      <c r="C32" s="41" t="s">
        <v>2901</v>
      </c>
      <c r="D32" s="60"/>
      <c r="E32" s="60"/>
    </row>
    <row r="33" spans="2:5">
      <c r="B33" s="62" t="s">
        <v>3263</v>
      </c>
      <c r="C33" s="41" t="s">
        <v>2903</v>
      </c>
      <c r="D33" s="60"/>
      <c r="E33" s="60"/>
    </row>
    <row r="34" spans="2:5">
      <c r="B34" s="61" t="s">
        <v>3264</v>
      </c>
      <c r="C34" s="41" t="s">
        <v>2905</v>
      </c>
      <c r="D34" s="60"/>
      <c r="E34" s="60"/>
    </row>
    <row r="35" spans="2:5">
      <c r="B35" s="62" t="s">
        <v>2372</v>
      </c>
      <c r="C35" s="41" t="s">
        <v>2907</v>
      </c>
      <c r="D35" s="60"/>
      <c r="E35" s="60"/>
    </row>
    <row r="36" spans="2:5">
      <c r="B36" s="62" t="s">
        <v>2373</v>
      </c>
      <c r="C36" s="41" t="s">
        <v>2909</v>
      </c>
      <c r="D36" s="60"/>
      <c r="E36" s="60"/>
    </row>
    <row r="37" spans="2:5">
      <c r="B37" s="62" t="s">
        <v>2377</v>
      </c>
      <c r="C37" s="41" t="s">
        <v>2911</v>
      </c>
      <c r="D37" s="60"/>
      <c r="E37" s="60"/>
    </row>
    <row r="38" spans="2:5">
      <c r="B38" s="62" t="s">
        <v>2378</v>
      </c>
      <c r="C38" s="41" t="s">
        <v>2913</v>
      </c>
      <c r="D38" s="60"/>
      <c r="E38" s="60"/>
    </row>
    <row r="39" spans="2:5">
      <c r="B39" s="61" t="s">
        <v>3265</v>
      </c>
      <c r="C39" s="41" t="s">
        <v>2915</v>
      </c>
      <c r="D39" s="60"/>
      <c r="E39" s="60"/>
    </row>
    <row r="40" spans="2:5">
      <c r="B40" s="61" t="s">
        <v>2481</v>
      </c>
      <c r="C40" s="41" t="s">
        <v>2917</v>
      </c>
      <c r="D40" s="60"/>
      <c r="E40" s="60"/>
    </row>
    <row r="41" spans="2:5">
      <c r="B41" s="61" t="s">
        <v>3266</v>
      </c>
      <c r="C41" s="41" t="s">
        <v>2919</v>
      </c>
      <c r="D41" s="60"/>
      <c r="E41" s="60"/>
    </row>
    <row r="42" spans="2:5">
      <c r="B42" s="61" t="s">
        <v>2382</v>
      </c>
      <c r="C42" s="41" t="s">
        <v>2921</v>
      </c>
      <c r="D42" s="60"/>
      <c r="E42" s="60"/>
    </row>
    <row r="43" spans="2:5">
      <c r="B43" s="49" t="s">
        <v>3267</v>
      </c>
      <c r="C43" s="41" t="s">
        <v>2923</v>
      </c>
      <c r="D43" s="60"/>
      <c r="E43" s="60"/>
    </row>
    <row r="44" spans="2:5">
      <c r="B44" s="49" t="s">
        <v>3268</v>
      </c>
      <c r="C44" s="41" t="s">
        <v>2925</v>
      </c>
      <c r="D44" s="60"/>
      <c r="E44" s="60"/>
    </row>
    <row r="45" spans="2:5">
      <c r="B45" s="61" t="s">
        <v>3269</v>
      </c>
      <c r="C45" s="41" t="s">
        <v>2927</v>
      </c>
      <c r="D45" s="60"/>
      <c r="E45" s="60"/>
    </row>
    <row r="46" spans="2:5">
      <c r="B46" s="61" t="s">
        <v>3270</v>
      </c>
      <c r="C46" s="41" t="s">
        <v>2929</v>
      </c>
      <c r="D46" s="60"/>
      <c r="E46" s="60"/>
    </row>
    <row r="47" spans="2:5">
      <c r="B47" s="61" t="s">
        <v>3271</v>
      </c>
      <c r="C47" s="41" t="s">
        <v>2931</v>
      </c>
      <c r="D47" s="60"/>
      <c r="E47" s="60"/>
    </row>
    <row r="48" spans="2:5">
      <c r="B48" s="49" t="s">
        <v>3272</v>
      </c>
      <c r="C48" s="41" t="s">
        <v>2933</v>
      </c>
      <c r="D48" s="60"/>
      <c r="E48" s="60"/>
    </row>
    <row r="49" spans="2:5">
      <c r="B49" s="61" t="s">
        <v>3273</v>
      </c>
      <c r="C49" s="41" t="s">
        <v>2935</v>
      </c>
      <c r="D49" s="60"/>
      <c r="E49" s="60"/>
    </row>
    <row r="50" spans="2:5">
      <c r="B50" s="62" t="s">
        <v>3274</v>
      </c>
      <c r="C50" s="41" t="s">
        <v>2937</v>
      </c>
      <c r="D50" s="60"/>
      <c r="E50" s="60"/>
    </row>
    <row r="51" spans="2:5">
      <c r="B51" s="62" t="s">
        <v>3275</v>
      </c>
      <c r="C51" s="41" t="s">
        <v>2939</v>
      </c>
      <c r="D51" s="60"/>
      <c r="E51" s="60"/>
    </row>
    <row r="52" spans="2:5">
      <c r="B52" s="61" t="s">
        <v>3276</v>
      </c>
      <c r="C52" s="41" t="s">
        <v>2941</v>
      </c>
      <c r="D52" s="60"/>
      <c r="E52" s="60"/>
    </row>
    <row r="53" spans="2:5">
      <c r="B53" s="62" t="s">
        <v>3277</v>
      </c>
      <c r="C53" s="41" t="s">
        <v>2943</v>
      </c>
      <c r="D53" s="60"/>
      <c r="E53" s="60"/>
    </row>
    <row r="54" spans="2:5">
      <c r="B54" s="62" t="s">
        <v>3278</v>
      </c>
      <c r="C54" s="41" t="s">
        <v>2945</v>
      </c>
      <c r="D54" s="60"/>
      <c r="E54" s="60"/>
    </row>
    <row r="55" spans="2:5">
      <c r="B55" s="61" t="s">
        <v>3279</v>
      </c>
      <c r="C55" s="41" t="s">
        <v>2947</v>
      </c>
      <c r="D55" s="60"/>
      <c r="E55" s="60"/>
    </row>
    <row r="56" spans="2:5">
      <c r="B56" s="49" t="s">
        <v>3280</v>
      </c>
      <c r="C56" s="41" t="s">
        <v>2949</v>
      </c>
      <c r="D56" s="60"/>
      <c r="E56" s="60"/>
    </row>
    <row r="57" spans="2:5">
      <c r="B57" s="49" t="s">
        <v>3281</v>
      </c>
      <c r="C57" s="41" t="s">
        <v>2951</v>
      </c>
      <c r="D57" s="60"/>
      <c r="E57" s="60"/>
    </row>
    <row r="58" spans="2:5">
      <c r="B58" s="49" t="s">
        <v>3282</v>
      </c>
      <c r="C58" s="41" t="s">
        <v>2953</v>
      </c>
      <c r="D58" s="60"/>
      <c r="E58" s="60"/>
    </row>
    <row r="59" spans="2:5">
      <c r="B59" s="49" t="s">
        <v>3283</v>
      </c>
      <c r="C59" s="41" t="s">
        <v>2955</v>
      </c>
      <c r="D59" s="60"/>
      <c r="E59" s="60"/>
    </row>
    <row r="60" spans="2:5">
      <c r="B60" s="49" t="s">
        <v>3286</v>
      </c>
      <c r="C60" s="41" t="s">
        <v>2961</v>
      </c>
      <c r="D60" s="60"/>
      <c r="E60" s="60"/>
    </row>
    <row r="61" spans="2:5">
      <c r="B61" s="49" t="s">
        <v>3287</v>
      </c>
      <c r="C61" s="41" t="s">
        <v>2963</v>
      </c>
      <c r="D61" s="60"/>
      <c r="E61" s="60"/>
    </row>
    <row r="62" spans="2:5">
      <c r="B62" s="49" t="s">
        <v>3288</v>
      </c>
      <c r="C62" s="41" t="s">
        <v>2977</v>
      </c>
      <c r="D62" s="63"/>
      <c r="E62" s="63"/>
    </row>
    <row r="63" spans="2:5">
      <c r="B63" s="47" t="s">
        <v>2389</v>
      </c>
      <c r="C63" s="44" t="s">
        <v>2878</v>
      </c>
      <c r="D63" s="56"/>
      <c r="E63" s="57"/>
    </row>
    <row r="64" spans="2:5">
      <c r="B64" s="49" t="s">
        <v>3289</v>
      </c>
      <c r="C64" s="41" t="s">
        <v>2979</v>
      </c>
      <c r="D64" s="60"/>
      <c r="E64" s="60"/>
    </row>
    <row r="65" spans="2:5">
      <c r="B65" s="61" t="s">
        <v>3290</v>
      </c>
      <c r="C65" s="41" t="s">
        <v>2981</v>
      </c>
      <c r="D65" s="60"/>
      <c r="E65" s="63"/>
    </row>
    <row r="66" spans="2:5">
      <c r="B66" s="62" t="s">
        <v>3291</v>
      </c>
      <c r="C66" s="41" t="s">
        <v>2983</v>
      </c>
      <c r="D66" s="64"/>
      <c r="E66" s="48"/>
    </row>
    <row r="67" spans="2:5">
      <c r="B67" s="62" t="s">
        <v>3292</v>
      </c>
      <c r="C67" s="41" t="s">
        <v>2985</v>
      </c>
      <c r="D67" s="64"/>
      <c r="E67" s="48"/>
    </row>
    <row r="68" spans="2:5">
      <c r="B68" s="62" t="s">
        <v>3293</v>
      </c>
      <c r="C68" s="41" t="s">
        <v>2987</v>
      </c>
      <c r="D68" s="64"/>
      <c r="E68" s="46"/>
    </row>
    <row r="69" spans="2:5">
      <c r="B69" s="61" t="s">
        <v>3294</v>
      </c>
      <c r="C69" s="41" t="s">
        <v>2989</v>
      </c>
      <c r="D69" s="60"/>
      <c r="E69" s="63"/>
    </row>
    <row r="70" spans="2:5">
      <c r="B70" s="62" t="s">
        <v>3291</v>
      </c>
      <c r="C70" s="41" t="s">
        <v>2991</v>
      </c>
      <c r="D70" s="64"/>
      <c r="E70" s="48"/>
    </row>
    <row r="71" spans="2:5">
      <c r="B71" s="62" t="s">
        <v>3292</v>
      </c>
      <c r="C71" s="41" t="s">
        <v>2993</v>
      </c>
      <c r="D71" s="64"/>
      <c r="E71" s="48"/>
    </row>
    <row r="72" spans="2:5">
      <c r="B72" s="62" t="s">
        <v>3293</v>
      </c>
      <c r="C72" s="41" t="s">
        <v>2995</v>
      </c>
      <c r="D72" s="64"/>
      <c r="E72" s="46"/>
    </row>
    <row r="73" spans="2:5">
      <c r="B73" s="49" t="s">
        <v>3295</v>
      </c>
      <c r="C73" s="41" t="s">
        <v>2997</v>
      </c>
      <c r="D73" s="60"/>
      <c r="E73" s="60"/>
    </row>
    <row r="74" spans="2:5">
      <c r="B74" s="61" t="s">
        <v>3296</v>
      </c>
      <c r="C74" s="41" t="s">
        <v>2999</v>
      </c>
      <c r="D74" s="60"/>
      <c r="E74" s="63"/>
    </row>
    <row r="75" spans="2:5">
      <c r="B75" s="62" t="s">
        <v>3291</v>
      </c>
      <c r="C75" s="41" t="s">
        <v>3001</v>
      </c>
      <c r="D75" s="64"/>
      <c r="E75" s="48"/>
    </row>
    <row r="76" spans="2:5">
      <c r="B76" s="62" t="s">
        <v>3292</v>
      </c>
      <c r="C76" s="41" t="s">
        <v>3003</v>
      </c>
      <c r="D76" s="64"/>
      <c r="E76" s="48"/>
    </row>
    <row r="77" spans="2:5">
      <c r="B77" s="62" t="s">
        <v>3293</v>
      </c>
      <c r="C77" s="41" t="s">
        <v>3005</v>
      </c>
      <c r="D77" s="64"/>
      <c r="E77" s="46"/>
    </row>
    <row r="78" spans="2:5">
      <c r="B78" s="61" t="s">
        <v>3297</v>
      </c>
      <c r="C78" s="41" t="s">
        <v>3007</v>
      </c>
      <c r="D78" s="60"/>
      <c r="E78" s="63"/>
    </row>
    <row r="79" spans="2:5">
      <c r="B79" s="62" t="s">
        <v>3291</v>
      </c>
      <c r="C79" s="41" t="s">
        <v>3009</v>
      </c>
      <c r="D79" s="64"/>
      <c r="E79" s="48"/>
    </row>
    <row r="80" spans="2:5">
      <c r="B80" s="62" t="s">
        <v>3292</v>
      </c>
      <c r="C80" s="41" t="s">
        <v>3011</v>
      </c>
      <c r="D80" s="64"/>
      <c r="E80" s="48"/>
    </row>
    <row r="81" spans="2:5">
      <c r="B81" s="62" t="s">
        <v>3293</v>
      </c>
      <c r="C81" s="41" t="s">
        <v>3013</v>
      </c>
      <c r="D81" s="64"/>
      <c r="E81" s="46"/>
    </row>
    <row r="82" spans="2:5">
      <c r="B82" s="49" t="s">
        <v>3298</v>
      </c>
      <c r="C82" s="41" t="s">
        <v>3015</v>
      </c>
      <c r="D82" s="60"/>
      <c r="E82" s="63"/>
    </row>
    <row r="83" spans="2:5">
      <c r="B83" s="61" t="s">
        <v>3291</v>
      </c>
      <c r="C83" s="41" t="s">
        <v>3064</v>
      </c>
      <c r="D83" s="64"/>
      <c r="E83" s="48"/>
    </row>
    <row r="84" spans="2:5">
      <c r="B84" s="61" t="s">
        <v>3292</v>
      </c>
      <c r="C84" s="41" t="s">
        <v>3066</v>
      </c>
      <c r="D84" s="64"/>
      <c r="E84" s="48"/>
    </row>
    <row r="85" spans="2:5">
      <c r="B85" s="61" t="s">
        <v>3293</v>
      </c>
      <c r="C85" s="41" t="s">
        <v>3068</v>
      </c>
      <c r="D85" s="65"/>
      <c r="E85" s="46"/>
    </row>
    <row r="86" spans="2:5">
      <c r="B86" s="49" t="s">
        <v>3299</v>
      </c>
      <c r="C86" s="44" t="s">
        <v>3070</v>
      </c>
      <c r="D86" s="46"/>
      <c r="E86" s="60"/>
    </row>
    <row r="87" spans="2:5">
      <c r="B87" s="49" t="s">
        <v>2698</v>
      </c>
      <c r="C87" s="41" t="s">
        <v>3017</v>
      </c>
      <c r="D87" s="60"/>
      <c r="E87" s="60"/>
    </row>
    <row r="88" spans="2:5">
      <c r="B88" s="49" t="s">
        <v>3300</v>
      </c>
      <c r="C88" s="41" t="s">
        <v>3019</v>
      </c>
      <c r="D88" s="60"/>
      <c r="E88" s="60"/>
    </row>
    <row r="89" spans="2:5">
      <c r="B89" s="49" t="s">
        <v>3301</v>
      </c>
      <c r="C89" s="41" t="s">
        <v>3021</v>
      </c>
      <c r="D89" s="60"/>
      <c r="E89" s="60"/>
    </row>
    <row r="90" spans="2:5">
      <c r="B90" s="49" t="s">
        <v>3302</v>
      </c>
      <c r="C90" s="41" t="s">
        <v>3023</v>
      </c>
      <c r="D90" s="60"/>
      <c r="E90" s="60"/>
    </row>
    <row r="91" spans="2:5">
      <c r="B91" s="49" t="s">
        <v>3303</v>
      </c>
      <c r="C91" s="41" t="s">
        <v>3072</v>
      </c>
      <c r="D91" s="60"/>
      <c r="E91" s="60"/>
    </row>
    <row r="92" spans="2:5">
      <c r="B92" s="49" t="s">
        <v>2481</v>
      </c>
      <c r="C92" s="41" t="s">
        <v>3118</v>
      </c>
      <c r="D92" s="60"/>
      <c r="E92" s="60"/>
    </row>
    <row r="93" spans="2:5">
      <c r="B93" s="49" t="s">
        <v>3304</v>
      </c>
      <c r="C93" s="41" t="s">
        <v>3120</v>
      </c>
      <c r="D93" s="60"/>
      <c r="E93" s="60"/>
    </row>
    <row r="94" spans="2:5">
      <c r="B94" s="49" t="s">
        <v>3305</v>
      </c>
      <c r="C94" s="41" t="s">
        <v>3122</v>
      </c>
      <c r="D94" s="60"/>
      <c r="E94" s="60"/>
    </row>
    <row r="95" spans="2:5">
      <c r="B95" s="49" t="s">
        <v>3306</v>
      </c>
      <c r="C95" s="41" t="s">
        <v>3124</v>
      </c>
      <c r="D95" s="60"/>
      <c r="E95" s="60"/>
    </row>
    <row r="96" spans="2:5">
      <c r="B96" s="49" t="s">
        <v>3307</v>
      </c>
      <c r="C96" s="41" t="s">
        <v>3126</v>
      </c>
      <c r="D96" s="60"/>
      <c r="E96" s="60"/>
    </row>
    <row r="97" spans="2:11">
      <c r="B97" s="49" t="s">
        <v>3308</v>
      </c>
      <c r="C97" s="41" t="s">
        <v>3128</v>
      </c>
      <c r="D97" s="60"/>
      <c r="E97" s="60"/>
    </row>
    <row r="98" spans="2:11">
      <c r="B98" s="49" t="s">
        <v>3312</v>
      </c>
      <c r="C98" s="41" t="s">
        <v>3136</v>
      </c>
      <c r="D98" s="60"/>
      <c r="E98" s="60"/>
    </row>
    <row r="99" spans="2:11">
      <c r="B99" s="49" t="s">
        <v>3313</v>
      </c>
      <c r="C99" s="41" t="s">
        <v>3140</v>
      </c>
      <c r="D99" s="60"/>
      <c r="E99" s="60"/>
    </row>
    <row r="100" spans="2:11">
      <c r="B100" s="47" t="s">
        <v>3314</v>
      </c>
      <c r="C100" s="41" t="s">
        <v>3315</v>
      </c>
      <c r="D100" s="60"/>
      <c r="E100" s="60"/>
    </row>
    <row r="102" spans="2:11">
      <c r="J102" s="13" t="str">
        <f>Show!$B$31&amp;Show!$B$31&amp;"SR.02.01.07.01 Rows {"&amp;COLUMN($C$1)&amp;"}"</f>
        <v>!!SR.02.01.07.01 Rows {3}</v>
      </c>
      <c r="K102" s="13" t="str">
        <f>Show!$B$31&amp;Show!$B$31&amp;"SR.02.01.07.01 Columns {"&amp;COLUMN($E$1)&amp;"}"</f>
        <v>!!SR.02.01.07.01 Columns {5}</v>
      </c>
    </row>
  </sheetData>
  <sheetProtection sheet="1" objects="1" scenarios="1"/>
  <mergeCells count="5">
    <mergeCell ref="B2:O2"/>
    <mergeCell ref="B5:L5"/>
    <mergeCell ref="D13:E14"/>
    <mergeCell ref="D15:D18"/>
    <mergeCell ref="E15:E18"/>
  </mergeCells>
  <dataValidations count="1">
    <dataValidation type="list" errorStyle="warning" allowBlank="1" showInputMessage="1" showErrorMessage="1" sqref="D9" xr:uid="{B54F575F-5F8E-47A7-B342-67024E740F04}">
      <formula1>hier_PU_30</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3ED03-C89C-4E4A-A31B-760BBC51C4A1}">
  <sheetPr codeName="Blad36"/>
  <dimension ref="B2:O111"/>
  <sheetViews>
    <sheetView showGridLines="0" workbookViewId="0"/>
  </sheetViews>
  <sheetFormatPr defaultRowHeight="15"/>
  <cols>
    <col min="2" max="2" width="83.7109375" bestFit="1" customWidth="1"/>
    <col min="4" max="6" width="15.7109375" customWidth="1"/>
  </cols>
  <sheetData>
    <row r="2" spans="2:15" ht="23.25">
      <c r="B2" s="86" t="s">
        <v>551</v>
      </c>
      <c r="C2" s="87"/>
      <c r="D2" s="87"/>
      <c r="E2" s="87"/>
      <c r="F2" s="87"/>
      <c r="G2" s="87"/>
      <c r="H2" s="87"/>
      <c r="I2" s="87"/>
      <c r="J2" s="87"/>
      <c r="K2" s="87"/>
      <c r="L2" s="87"/>
      <c r="M2" s="87"/>
      <c r="N2" s="87"/>
      <c r="O2" s="87"/>
    </row>
    <row r="5" spans="2:15" ht="18.75">
      <c r="B5" s="88" t="s">
        <v>3326</v>
      </c>
      <c r="C5" s="87"/>
      <c r="D5" s="87"/>
      <c r="E5" s="87"/>
      <c r="F5" s="87"/>
      <c r="G5" s="87"/>
      <c r="H5" s="87"/>
      <c r="I5" s="87"/>
      <c r="J5" s="87"/>
      <c r="K5" s="87"/>
      <c r="L5" s="87"/>
    </row>
    <row r="9" spans="2:15">
      <c r="D9" s="92" t="s">
        <v>2877</v>
      </c>
      <c r="E9" s="93"/>
      <c r="F9" s="94"/>
    </row>
    <row r="10" spans="2:15">
      <c r="D10" s="95"/>
      <c r="E10" s="96"/>
      <c r="F10" s="97"/>
    </row>
    <row r="11" spans="2:15">
      <c r="D11" s="89" t="s">
        <v>3250</v>
      </c>
      <c r="E11" s="89" t="s">
        <v>3251</v>
      </c>
      <c r="F11" s="89" t="s">
        <v>3327</v>
      </c>
    </row>
    <row r="12" spans="2:15">
      <c r="D12" s="90"/>
      <c r="E12" s="90"/>
      <c r="F12" s="90"/>
    </row>
    <row r="13" spans="2:15">
      <c r="D13" s="90"/>
      <c r="E13" s="90"/>
      <c r="F13" s="90"/>
    </row>
    <row r="14" spans="2:15">
      <c r="D14" s="91"/>
      <c r="E14" s="91"/>
      <c r="F14" s="91"/>
    </row>
    <row r="15" spans="2:15">
      <c r="D15" s="45" t="s">
        <v>2879</v>
      </c>
      <c r="E15" s="45" t="s">
        <v>3219</v>
      </c>
      <c r="F15" s="45" t="s">
        <v>3328</v>
      </c>
      <c r="K15" s="13" t="str">
        <f>Show!$B$32&amp;"SE.02.01.16.01 Rows {"&amp;COLUMN($C$1)&amp;"}"&amp;"@ForceFilingCode:true"</f>
        <v>!SE.02.01.16.01 Rows {3}@ForceFilingCode:true</v>
      </c>
      <c r="L15" s="13" t="str">
        <f>Show!$B$32&amp;"SE.02.01.16.01 Columns {"&amp;COLUMN($D$1)&amp;"}"</f>
        <v>!SE.02.01.16.01 Columns {4}</v>
      </c>
    </row>
    <row r="16" spans="2:15">
      <c r="B16" s="43" t="s">
        <v>2880</v>
      </c>
      <c r="C16" s="44" t="s">
        <v>2878</v>
      </c>
      <c r="D16" s="58"/>
      <c r="E16" s="67"/>
      <c r="F16" s="59"/>
    </row>
    <row r="17" spans="2:6">
      <c r="B17" s="47" t="s">
        <v>3252</v>
      </c>
      <c r="C17" s="44" t="s">
        <v>2878</v>
      </c>
      <c r="D17" s="58"/>
      <c r="E17" s="66"/>
      <c r="F17" s="59"/>
    </row>
    <row r="18" spans="2:6">
      <c r="B18" s="49" t="s">
        <v>3253</v>
      </c>
      <c r="C18" s="44" t="s">
        <v>2883</v>
      </c>
      <c r="D18" s="48"/>
      <c r="E18" s="64"/>
      <c r="F18" s="48"/>
    </row>
    <row r="19" spans="2:6">
      <c r="B19" s="49" t="s">
        <v>3254</v>
      </c>
      <c r="C19" s="44" t="s">
        <v>2885</v>
      </c>
      <c r="D19" s="46"/>
      <c r="E19" s="64"/>
      <c r="F19" s="46"/>
    </row>
    <row r="20" spans="2:6">
      <c r="B20" s="49" t="s">
        <v>3255</v>
      </c>
      <c r="C20" s="41" t="s">
        <v>2887</v>
      </c>
      <c r="D20" s="60"/>
      <c r="E20" s="60"/>
      <c r="F20" s="60"/>
    </row>
    <row r="21" spans="2:6">
      <c r="B21" s="49" t="s">
        <v>3256</v>
      </c>
      <c r="C21" s="41" t="s">
        <v>2889</v>
      </c>
      <c r="D21" s="60"/>
      <c r="E21" s="60"/>
      <c r="F21" s="60"/>
    </row>
    <row r="22" spans="2:6">
      <c r="B22" s="49" t="s">
        <v>3257</v>
      </c>
      <c r="C22" s="41" t="s">
        <v>3078</v>
      </c>
      <c r="D22" s="60"/>
      <c r="E22" s="60"/>
      <c r="F22" s="60"/>
    </row>
    <row r="23" spans="2:6">
      <c r="B23" s="49" t="s">
        <v>3258</v>
      </c>
      <c r="C23" s="41" t="s">
        <v>2891</v>
      </c>
      <c r="D23" s="60"/>
      <c r="E23" s="60"/>
      <c r="F23" s="60"/>
    </row>
    <row r="24" spans="2:6">
      <c r="B24" s="49" t="s">
        <v>3259</v>
      </c>
      <c r="C24" s="41" t="s">
        <v>2893</v>
      </c>
      <c r="D24" s="60"/>
      <c r="E24" s="60"/>
      <c r="F24" s="60"/>
    </row>
    <row r="25" spans="2:6">
      <c r="B25" s="61" t="s">
        <v>3260</v>
      </c>
      <c r="C25" s="41" t="s">
        <v>2895</v>
      </c>
      <c r="D25" s="60"/>
      <c r="E25" s="60"/>
      <c r="F25" s="60"/>
    </row>
    <row r="26" spans="2:6">
      <c r="B26" s="61" t="s">
        <v>3261</v>
      </c>
      <c r="C26" s="41" t="s">
        <v>2897</v>
      </c>
      <c r="D26" s="60"/>
      <c r="E26" s="60"/>
      <c r="F26" s="60"/>
    </row>
    <row r="27" spans="2:6">
      <c r="B27" s="61" t="s">
        <v>2480</v>
      </c>
      <c r="C27" s="41" t="s">
        <v>2899</v>
      </c>
      <c r="D27" s="60"/>
      <c r="E27" s="60"/>
      <c r="F27" s="60"/>
    </row>
    <row r="28" spans="2:6">
      <c r="B28" s="62" t="s">
        <v>3262</v>
      </c>
      <c r="C28" s="41" t="s">
        <v>2901</v>
      </c>
      <c r="D28" s="60"/>
      <c r="E28" s="60"/>
      <c r="F28" s="60"/>
    </row>
    <row r="29" spans="2:6">
      <c r="B29" s="62" t="s">
        <v>3263</v>
      </c>
      <c r="C29" s="41" t="s">
        <v>2903</v>
      </c>
      <c r="D29" s="60"/>
      <c r="E29" s="60"/>
      <c r="F29" s="60"/>
    </row>
    <row r="30" spans="2:6">
      <c r="B30" s="61" t="s">
        <v>3264</v>
      </c>
      <c r="C30" s="41" t="s">
        <v>2905</v>
      </c>
      <c r="D30" s="60"/>
      <c r="E30" s="60"/>
      <c r="F30" s="60"/>
    </row>
    <row r="31" spans="2:6">
      <c r="B31" s="62" t="s">
        <v>2372</v>
      </c>
      <c r="C31" s="41" t="s">
        <v>2907</v>
      </c>
      <c r="D31" s="60"/>
      <c r="E31" s="60"/>
      <c r="F31" s="60"/>
    </row>
    <row r="32" spans="2:6">
      <c r="B32" s="62" t="s">
        <v>2373</v>
      </c>
      <c r="C32" s="41" t="s">
        <v>2909</v>
      </c>
      <c r="D32" s="60"/>
      <c r="E32" s="60"/>
      <c r="F32" s="60"/>
    </row>
    <row r="33" spans="2:6">
      <c r="B33" s="62" t="s">
        <v>2377</v>
      </c>
      <c r="C33" s="41" t="s">
        <v>2911</v>
      </c>
      <c r="D33" s="60"/>
      <c r="E33" s="60"/>
      <c r="F33" s="60"/>
    </row>
    <row r="34" spans="2:6">
      <c r="B34" s="62" t="s">
        <v>2378</v>
      </c>
      <c r="C34" s="41" t="s">
        <v>2913</v>
      </c>
      <c r="D34" s="60"/>
      <c r="E34" s="60"/>
      <c r="F34" s="60"/>
    </row>
    <row r="35" spans="2:6">
      <c r="B35" s="61" t="s">
        <v>3265</v>
      </c>
      <c r="C35" s="41" t="s">
        <v>2915</v>
      </c>
      <c r="D35" s="60"/>
      <c r="E35" s="60"/>
      <c r="F35" s="60"/>
    </row>
    <row r="36" spans="2:6">
      <c r="B36" s="61" t="s">
        <v>2481</v>
      </c>
      <c r="C36" s="41" t="s">
        <v>2917</v>
      </c>
      <c r="D36" s="60"/>
      <c r="E36" s="60"/>
      <c r="F36" s="60"/>
    </row>
    <row r="37" spans="2:6">
      <c r="B37" s="61" t="s">
        <v>3266</v>
      </c>
      <c r="C37" s="41" t="s">
        <v>2919</v>
      </c>
      <c r="D37" s="60"/>
      <c r="E37" s="60"/>
      <c r="F37" s="60"/>
    </row>
    <row r="38" spans="2:6">
      <c r="B38" s="61" t="s">
        <v>2382</v>
      </c>
      <c r="C38" s="41" t="s">
        <v>2921</v>
      </c>
      <c r="D38" s="60"/>
      <c r="E38" s="60"/>
      <c r="F38" s="60"/>
    </row>
    <row r="39" spans="2:6">
      <c r="B39" s="49" t="s">
        <v>3267</v>
      </c>
      <c r="C39" s="41" t="s">
        <v>2923</v>
      </c>
      <c r="D39" s="60"/>
      <c r="E39" s="60"/>
      <c r="F39" s="60"/>
    </row>
    <row r="40" spans="2:6">
      <c r="B40" s="49" t="s">
        <v>3268</v>
      </c>
      <c r="C40" s="41" t="s">
        <v>2925</v>
      </c>
      <c r="D40" s="60"/>
      <c r="E40" s="60"/>
      <c r="F40" s="60"/>
    </row>
    <row r="41" spans="2:6">
      <c r="B41" s="61" t="s">
        <v>3269</v>
      </c>
      <c r="C41" s="41" t="s">
        <v>2927</v>
      </c>
      <c r="D41" s="60"/>
      <c r="E41" s="60"/>
      <c r="F41" s="60"/>
    </row>
    <row r="42" spans="2:6">
      <c r="B42" s="61" t="s">
        <v>3270</v>
      </c>
      <c r="C42" s="41" t="s">
        <v>2929</v>
      </c>
      <c r="D42" s="60"/>
      <c r="E42" s="60"/>
      <c r="F42" s="60"/>
    </row>
    <row r="43" spans="2:6">
      <c r="B43" s="61" t="s">
        <v>3271</v>
      </c>
      <c r="C43" s="41" t="s">
        <v>2931</v>
      </c>
      <c r="D43" s="60"/>
      <c r="E43" s="60"/>
      <c r="F43" s="60"/>
    </row>
    <row r="44" spans="2:6">
      <c r="B44" s="49" t="s">
        <v>3272</v>
      </c>
      <c r="C44" s="41" t="s">
        <v>2933</v>
      </c>
      <c r="D44" s="60"/>
      <c r="E44" s="60"/>
      <c r="F44" s="63"/>
    </row>
    <row r="45" spans="2:6">
      <c r="B45" s="61" t="s">
        <v>3273</v>
      </c>
      <c r="C45" s="41" t="s">
        <v>2935</v>
      </c>
      <c r="D45" s="60"/>
      <c r="E45" s="64"/>
      <c r="F45" s="48"/>
    </row>
    <row r="46" spans="2:6">
      <c r="B46" s="62" t="s">
        <v>3274</v>
      </c>
      <c r="C46" s="41" t="s">
        <v>2937</v>
      </c>
      <c r="D46" s="60"/>
      <c r="E46" s="64"/>
      <c r="F46" s="48"/>
    </row>
    <row r="47" spans="2:6">
      <c r="B47" s="62" t="s">
        <v>3275</v>
      </c>
      <c r="C47" s="41" t="s">
        <v>2939</v>
      </c>
      <c r="D47" s="60"/>
      <c r="E47" s="64"/>
      <c r="F47" s="48"/>
    </row>
    <row r="48" spans="2:6">
      <c r="B48" s="61" t="s">
        <v>3276</v>
      </c>
      <c r="C48" s="41" t="s">
        <v>2941</v>
      </c>
      <c r="D48" s="60"/>
      <c r="E48" s="64"/>
      <c r="F48" s="48"/>
    </row>
    <row r="49" spans="2:6">
      <c r="B49" s="62" t="s">
        <v>3277</v>
      </c>
      <c r="C49" s="41" t="s">
        <v>2943</v>
      </c>
      <c r="D49" s="60"/>
      <c r="E49" s="64"/>
      <c r="F49" s="48"/>
    </row>
    <row r="50" spans="2:6">
      <c r="B50" s="62" t="s">
        <v>3278</v>
      </c>
      <c r="C50" s="41" t="s">
        <v>2945</v>
      </c>
      <c r="D50" s="60"/>
      <c r="E50" s="64"/>
      <c r="F50" s="48"/>
    </row>
    <row r="51" spans="2:6">
      <c r="B51" s="61" t="s">
        <v>3279</v>
      </c>
      <c r="C51" s="41" t="s">
        <v>2947</v>
      </c>
      <c r="D51" s="60"/>
      <c r="E51" s="64"/>
      <c r="F51" s="46"/>
    </row>
    <row r="52" spans="2:6">
      <c r="B52" s="49" t="s">
        <v>3280</v>
      </c>
      <c r="C52" s="41" t="s">
        <v>2949</v>
      </c>
      <c r="D52" s="60"/>
      <c r="E52" s="60"/>
      <c r="F52" s="60"/>
    </row>
    <row r="53" spans="2:6">
      <c r="B53" s="49" t="s">
        <v>3281</v>
      </c>
      <c r="C53" s="41" t="s">
        <v>2951</v>
      </c>
      <c r="D53" s="60"/>
      <c r="E53" s="60"/>
      <c r="F53" s="60"/>
    </row>
    <row r="54" spans="2:6">
      <c r="B54" s="49" t="s">
        <v>3282</v>
      </c>
      <c r="C54" s="41" t="s">
        <v>2953</v>
      </c>
      <c r="D54" s="60"/>
      <c r="E54" s="60"/>
      <c r="F54" s="60"/>
    </row>
    <row r="55" spans="2:6">
      <c r="B55" s="49" t="s">
        <v>3283</v>
      </c>
      <c r="C55" s="41" t="s">
        <v>2955</v>
      </c>
      <c r="D55" s="60"/>
      <c r="E55" s="60"/>
      <c r="F55" s="60"/>
    </row>
    <row r="56" spans="2:6">
      <c r="B56" s="49" t="s">
        <v>3284</v>
      </c>
      <c r="C56" s="41" t="s">
        <v>2957</v>
      </c>
      <c r="D56" s="60"/>
      <c r="E56" s="60"/>
      <c r="F56" s="60"/>
    </row>
    <row r="57" spans="2:6">
      <c r="B57" s="49" t="s">
        <v>3285</v>
      </c>
      <c r="C57" s="41" t="s">
        <v>2959</v>
      </c>
      <c r="D57" s="60"/>
      <c r="E57" s="60"/>
      <c r="F57" s="60"/>
    </row>
    <row r="58" spans="2:6">
      <c r="B58" s="49" t="s">
        <v>3286</v>
      </c>
      <c r="C58" s="41" t="s">
        <v>2961</v>
      </c>
      <c r="D58" s="60"/>
      <c r="E58" s="60"/>
      <c r="F58" s="60"/>
    </row>
    <row r="59" spans="2:6">
      <c r="B59" s="49" t="s">
        <v>3287</v>
      </c>
      <c r="C59" s="41" t="s">
        <v>2963</v>
      </c>
      <c r="D59" s="60"/>
      <c r="E59" s="60"/>
      <c r="F59" s="60"/>
    </row>
    <row r="60" spans="2:6">
      <c r="B60" s="49" t="s">
        <v>3288</v>
      </c>
      <c r="C60" s="41" t="s">
        <v>2977</v>
      </c>
      <c r="D60" s="63"/>
      <c r="E60" s="63"/>
      <c r="F60" s="63"/>
    </row>
    <row r="61" spans="2:6">
      <c r="B61" s="47" t="s">
        <v>2389</v>
      </c>
      <c r="C61" s="44" t="s">
        <v>2878</v>
      </c>
      <c r="D61" s="56"/>
      <c r="E61" s="66"/>
      <c r="F61" s="57"/>
    </row>
    <row r="62" spans="2:6">
      <c r="B62" s="49" t="s">
        <v>3289</v>
      </c>
      <c r="C62" s="41" t="s">
        <v>2979</v>
      </c>
      <c r="D62" s="60"/>
      <c r="E62" s="60"/>
      <c r="F62" s="63"/>
    </row>
    <row r="63" spans="2:6">
      <c r="B63" s="61" t="s">
        <v>3290</v>
      </c>
      <c r="C63" s="41" t="s">
        <v>2981</v>
      </c>
      <c r="D63" s="60"/>
      <c r="E63" s="65"/>
      <c r="F63" s="48"/>
    </row>
    <row r="64" spans="2:6">
      <c r="B64" s="62" t="s">
        <v>3291</v>
      </c>
      <c r="C64" s="41" t="s">
        <v>2983</v>
      </c>
      <c r="D64" s="64"/>
      <c r="E64" s="58"/>
      <c r="F64" s="48"/>
    </row>
    <row r="65" spans="2:6">
      <c r="B65" s="62" t="s">
        <v>3292</v>
      </c>
      <c r="C65" s="41" t="s">
        <v>2985</v>
      </c>
      <c r="D65" s="64"/>
      <c r="E65" s="58"/>
      <c r="F65" s="48"/>
    </row>
    <row r="66" spans="2:6">
      <c r="B66" s="62" t="s">
        <v>3293</v>
      </c>
      <c r="C66" s="41" t="s">
        <v>2987</v>
      </c>
      <c r="D66" s="64"/>
      <c r="E66" s="56"/>
      <c r="F66" s="48"/>
    </row>
    <row r="67" spans="2:6">
      <c r="B67" s="61" t="s">
        <v>3294</v>
      </c>
      <c r="C67" s="41" t="s">
        <v>2989</v>
      </c>
      <c r="D67" s="60"/>
      <c r="E67" s="65"/>
      <c r="F67" s="48"/>
    </row>
    <row r="68" spans="2:6">
      <c r="B68" s="62" t="s">
        <v>3291</v>
      </c>
      <c r="C68" s="41" t="s">
        <v>2991</v>
      </c>
      <c r="D68" s="64"/>
      <c r="E68" s="58"/>
      <c r="F68" s="48"/>
    </row>
    <row r="69" spans="2:6">
      <c r="B69" s="62" t="s">
        <v>3292</v>
      </c>
      <c r="C69" s="41" t="s">
        <v>2993</v>
      </c>
      <c r="D69" s="64"/>
      <c r="E69" s="58"/>
      <c r="F69" s="48"/>
    </row>
    <row r="70" spans="2:6">
      <c r="B70" s="62" t="s">
        <v>3293</v>
      </c>
      <c r="C70" s="41" t="s">
        <v>2995</v>
      </c>
      <c r="D70" s="64"/>
      <c r="E70" s="56"/>
      <c r="F70" s="46"/>
    </row>
    <row r="71" spans="2:6">
      <c r="B71" s="49" t="s">
        <v>3295</v>
      </c>
      <c r="C71" s="41" t="s">
        <v>2997</v>
      </c>
      <c r="D71" s="60"/>
      <c r="E71" s="60"/>
      <c r="F71" s="63"/>
    </row>
    <row r="72" spans="2:6">
      <c r="B72" s="61" t="s">
        <v>3296</v>
      </c>
      <c r="C72" s="41" t="s">
        <v>2999</v>
      </c>
      <c r="D72" s="60"/>
      <c r="E72" s="65"/>
      <c r="F72" s="48"/>
    </row>
    <row r="73" spans="2:6">
      <c r="B73" s="62" t="s">
        <v>3291</v>
      </c>
      <c r="C73" s="41" t="s">
        <v>3001</v>
      </c>
      <c r="D73" s="64"/>
      <c r="E73" s="58"/>
      <c r="F73" s="48"/>
    </row>
    <row r="74" spans="2:6">
      <c r="B74" s="62" t="s">
        <v>3292</v>
      </c>
      <c r="C74" s="41" t="s">
        <v>3003</v>
      </c>
      <c r="D74" s="64"/>
      <c r="E74" s="58"/>
      <c r="F74" s="48"/>
    </row>
    <row r="75" spans="2:6">
      <c r="B75" s="62" t="s">
        <v>3293</v>
      </c>
      <c r="C75" s="41" t="s">
        <v>3005</v>
      </c>
      <c r="D75" s="64"/>
      <c r="E75" s="56"/>
      <c r="F75" s="48"/>
    </row>
    <row r="76" spans="2:6">
      <c r="B76" s="61" t="s">
        <v>3297</v>
      </c>
      <c r="C76" s="41" t="s">
        <v>3007</v>
      </c>
      <c r="D76" s="60"/>
      <c r="E76" s="65"/>
      <c r="F76" s="48"/>
    </row>
    <row r="77" spans="2:6">
      <c r="B77" s="62" t="s">
        <v>3291</v>
      </c>
      <c r="C77" s="41" t="s">
        <v>3009</v>
      </c>
      <c r="D77" s="64"/>
      <c r="E77" s="58"/>
      <c r="F77" s="48"/>
    </row>
    <row r="78" spans="2:6">
      <c r="B78" s="62" t="s">
        <v>3292</v>
      </c>
      <c r="C78" s="41" t="s">
        <v>3011</v>
      </c>
      <c r="D78" s="64"/>
      <c r="E78" s="58"/>
      <c r="F78" s="48"/>
    </row>
    <row r="79" spans="2:6">
      <c r="B79" s="62" t="s">
        <v>3293</v>
      </c>
      <c r="C79" s="41" t="s">
        <v>3013</v>
      </c>
      <c r="D79" s="64"/>
      <c r="E79" s="56"/>
      <c r="F79" s="46"/>
    </row>
    <row r="80" spans="2:6">
      <c r="B80" s="49" t="s">
        <v>3298</v>
      </c>
      <c r="C80" s="41" t="s">
        <v>3015</v>
      </c>
      <c r="D80" s="60"/>
      <c r="E80" s="63"/>
      <c r="F80" s="63"/>
    </row>
    <row r="81" spans="2:6">
      <c r="B81" s="61" t="s">
        <v>3291</v>
      </c>
      <c r="C81" s="41" t="s">
        <v>3064</v>
      </c>
      <c r="D81" s="64"/>
      <c r="E81" s="58"/>
      <c r="F81" s="48"/>
    </row>
    <row r="82" spans="2:6">
      <c r="B82" s="61" t="s">
        <v>3292</v>
      </c>
      <c r="C82" s="41" t="s">
        <v>3066</v>
      </c>
      <c r="D82" s="64"/>
      <c r="E82" s="58"/>
      <c r="F82" s="48"/>
    </row>
    <row r="83" spans="2:6">
      <c r="B83" s="61" t="s">
        <v>3293</v>
      </c>
      <c r="C83" s="41" t="s">
        <v>3068</v>
      </c>
      <c r="D83" s="65"/>
      <c r="E83" s="56"/>
      <c r="F83" s="48"/>
    </row>
    <row r="84" spans="2:6">
      <c r="B84" s="49" t="s">
        <v>3299</v>
      </c>
      <c r="C84" s="44" t="s">
        <v>3070</v>
      </c>
      <c r="D84" s="46"/>
      <c r="E84" s="64"/>
      <c r="F84" s="46"/>
    </row>
    <row r="85" spans="2:6">
      <c r="B85" s="49" t="s">
        <v>2698</v>
      </c>
      <c r="C85" s="41" t="s">
        <v>3017</v>
      </c>
      <c r="D85" s="60"/>
      <c r="E85" s="60"/>
      <c r="F85" s="60"/>
    </row>
    <row r="86" spans="2:6">
      <c r="B86" s="49" t="s">
        <v>3300</v>
      </c>
      <c r="C86" s="41" t="s">
        <v>3019</v>
      </c>
      <c r="D86" s="60"/>
      <c r="E86" s="60"/>
      <c r="F86" s="60"/>
    </row>
    <row r="87" spans="2:6">
      <c r="B87" s="49" t="s">
        <v>3301</v>
      </c>
      <c r="C87" s="41" t="s">
        <v>3021</v>
      </c>
      <c r="D87" s="60"/>
      <c r="E87" s="60"/>
      <c r="F87" s="60"/>
    </row>
    <row r="88" spans="2:6">
      <c r="B88" s="49" t="s">
        <v>3302</v>
      </c>
      <c r="C88" s="41" t="s">
        <v>3023</v>
      </c>
      <c r="D88" s="60"/>
      <c r="E88" s="60"/>
      <c r="F88" s="60"/>
    </row>
    <row r="89" spans="2:6">
      <c r="B89" s="49" t="s">
        <v>3303</v>
      </c>
      <c r="C89" s="41" t="s">
        <v>3072</v>
      </c>
      <c r="D89" s="60"/>
      <c r="E89" s="60"/>
      <c r="F89" s="60"/>
    </row>
    <row r="90" spans="2:6">
      <c r="B90" s="49" t="s">
        <v>2481</v>
      </c>
      <c r="C90" s="41" t="s">
        <v>3118</v>
      </c>
      <c r="D90" s="60"/>
      <c r="E90" s="60"/>
      <c r="F90" s="60"/>
    </row>
    <row r="91" spans="2:6">
      <c r="B91" s="49" t="s">
        <v>3304</v>
      </c>
      <c r="C91" s="41" t="s">
        <v>3120</v>
      </c>
      <c r="D91" s="60"/>
      <c r="E91" s="63"/>
      <c r="F91" s="60"/>
    </row>
    <row r="92" spans="2:6">
      <c r="B92" s="61" t="s">
        <v>3329</v>
      </c>
      <c r="C92" s="41" t="s">
        <v>3330</v>
      </c>
      <c r="D92" s="64"/>
      <c r="E92" s="48"/>
      <c r="F92" s="60"/>
    </row>
    <row r="93" spans="2:6">
      <c r="B93" s="61" t="s">
        <v>3331</v>
      </c>
      <c r="C93" s="41" t="s">
        <v>3332</v>
      </c>
      <c r="D93" s="64"/>
      <c r="E93" s="48"/>
      <c r="F93" s="60"/>
    </row>
    <row r="94" spans="2:6">
      <c r="B94" s="61" t="s">
        <v>3333</v>
      </c>
      <c r="C94" s="41" t="s">
        <v>3334</v>
      </c>
      <c r="D94" s="64"/>
      <c r="E94" s="46"/>
      <c r="F94" s="60"/>
    </row>
    <row r="95" spans="2:6">
      <c r="B95" s="49" t="s">
        <v>3305</v>
      </c>
      <c r="C95" s="41" t="s">
        <v>3122</v>
      </c>
      <c r="D95" s="60"/>
      <c r="E95" s="63"/>
      <c r="F95" s="60"/>
    </row>
    <row r="96" spans="2:6">
      <c r="B96" s="61" t="s">
        <v>3335</v>
      </c>
      <c r="C96" s="41" t="s">
        <v>3336</v>
      </c>
      <c r="D96" s="64"/>
      <c r="E96" s="48"/>
      <c r="F96" s="60"/>
    </row>
    <row r="97" spans="2:12">
      <c r="B97" s="62" t="s">
        <v>3337</v>
      </c>
      <c r="C97" s="41" t="s">
        <v>3338</v>
      </c>
      <c r="D97" s="64"/>
      <c r="E97" s="48"/>
      <c r="F97" s="60"/>
    </row>
    <row r="98" spans="2:12">
      <c r="B98" s="62" t="s">
        <v>3339</v>
      </c>
      <c r="C98" s="41" t="s">
        <v>3340</v>
      </c>
      <c r="D98" s="64"/>
      <c r="E98" s="48"/>
      <c r="F98" s="60"/>
    </row>
    <row r="99" spans="2:12">
      <c r="B99" s="62" t="s">
        <v>3341</v>
      </c>
      <c r="C99" s="41" t="s">
        <v>3342</v>
      </c>
      <c r="D99" s="64"/>
      <c r="E99" s="48"/>
      <c r="F99" s="60"/>
    </row>
    <row r="100" spans="2:12">
      <c r="B100" s="61" t="s">
        <v>3343</v>
      </c>
      <c r="C100" s="41" t="s">
        <v>3344</v>
      </c>
      <c r="D100" s="64"/>
      <c r="E100" s="46"/>
      <c r="F100" s="60"/>
    </row>
    <row r="101" spans="2:12">
      <c r="B101" s="49" t="s">
        <v>3306</v>
      </c>
      <c r="C101" s="41" t="s">
        <v>3124</v>
      </c>
      <c r="D101" s="60"/>
      <c r="E101" s="60"/>
      <c r="F101" s="60"/>
    </row>
    <row r="102" spans="2:12">
      <c r="B102" s="49" t="s">
        <v>3307</v>
      </c>
      <c r="C102" s="41" t="s">
        <v>3126</v>
      </c>
      <c r="D102" s="60"/>
      <c r="E102" s="60"/>
      <c r="F102" s="60"/>
    </row>
    <row r="103" spans="2:12">
      <c r="B103" s="49" t="s">
        <v>3308</v>
      </c>
      <c r="C103" s="41" t="s">
        <v>3128</v>
      </c>
      <c r="D103" s="60"/>
      <c r="E103" s="60"/>
      <c r="F103" s="60"/>
    </row>
    <row r="104" spans="2:12">
      <c r="B104" s="49" t="s">
        <v>3309</v>
      </c>
      <c r="C104" s="41" t="s">
        <v>3130</v>
      </c>
      <c r="D104" s="60"/>
      <c r="E104" s="60"/>
      <c r="F104" s="60"/>
    </row>
    <row r="105" spans="2:12">
      <c r="B105" s="61" t="s">
        <v>3310</v>
      </c>
      <c r="C105" s="41" t="s">
        <v>3132</v>
      </c>
      <c r="D105" s="60"/>
      <c r="E105" s="60"/>
      <c r="F105" s="60"/>
    </row>
    <row r="106" spans="2:12">
      <c r="B106" s="61" t="s">
        <v>3311</v>
      </c>
      <c r="C106" s="41" t="s">
        <v>3134</v>
      </c>
      <c r="D106" s="60"/>
      <c r="E106" s="60"/>
      <c r="F106" s="60"/>
    </row>
    <row r="107" spans="2:12">
      <c r="B107" s="49" t="s">
        <v>3312</v>
      </c>
      <c r="C107" s="41" t="s">
        <v>3136</v>
      </c>
      <c r="D107" s="60"/>
      <c r="E107" s="60"/>
      <c r="F107" s="60"/>
    </row>
    <row r="108" spans="2:12">
      <c r="B108" s="49" t="s">
        <v>3313</v>
      </c>
      <c r="C108" s="41" t="s">
        <v>3140</v>
      </c>
      <c r="D108" s="60"/>
      <c r="E108" s="60"/>
      <c r="F108" s="60"/>
    </row>
    <row r="109" spans="2:12">
      <c r="B109" s="47" t="s">
        <v>3314</v>
      </c>
      <c r="C109" s="41" t="s">
        <v>3315</v>
      </c>
      <c r="D109" s="60"/>
      <c r="E109" s="60"/>
      <c r="F109" s="60"/>
    </row>
    <row r="111" spans="2:12">
      <c r="K111" s="13" t="str">
        <f>Show!$B$32&amp;Show!$B$32&amp;"SE.02.01.16.01 Rows {"&amp;COLUMN($C$1)&amp;"}"</f>
        <v>!!SE.02.01.16.01 Rows {3}</v>
      </c>
      <c r="L111" s="13" t="str">
        <f>Show!$B$32&amp;Show!$B$32&amp;"SE.02.01.16.01 Columns {"&amp;COLUMN($F$1)&amp;"}"</f>
        <v>!!SE.02.01.16.01 Columns {6}</v>
      </c>
    </row>
  </sheetData>
  <sheetProtection sheet="1" objects="1" scenarios="1"/>
  <mergeCells count="6">
    <mergeCell ref="B2:O2"/>
    <mergeCell ref="B5:L5"/>
    <mergeCell ref="D9:F10"/>
    <mergeCell ref="D11:D14"/>
    <mergeCell ref="E11:E14"/>
    <mergeCell ref="F11:F14"/>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5A6B7-A2E4-4716-B86B-4F6BAB1F7F11}">
  <sheetPr codeName="Blad37"/>
  <dimension ref="B2:O111"/>
  <sheetViews>
    <sheetView showGridLines="0" workbookViewId="0"/>
  </sheetViews>
  <sheetFormatPr defaultRowHeight="15"/>
  <cols>
    <col min="2" max="2" width="83.7109375" bestFit="1" customWidth="1"/>
    <col min="4" max="5" width="15.7109375" customWidth="1"/>
  </cols>
  <sheetData>
    <row r="2" spans="2:15" ht="23.25">
      <c r="B2" s="86" t="s">
        <v>553</v>
      </c>
      <c r="C2" s="87"/>
      <c r="D2" s="87"/>
      <c r="E2" s="87"/>
      <c r="F2" s="87"/>
      <c r="G2" s="87"/>
      <c r="H2" s="87"/>
      <c r="I2" s="87"/>
      <c r="J2" s="87"/>
      <c r="K2" s="87"/>
      <c r="L2" s="87"/>
      <c r="M2" s="87"/>
      <c r="N2" s="87"/>
      <c r="O2" s="87"/>
    </row>
    <row r="5" spans="2:15" ht="18.75">
      <c r="B5" s="88" t="s">
        <v>3345</v>
      </c>
      <c r="C5" s="87"/>
      <c r="D5" s="87"/>
      <c r="E5" s="87"/>
      <c r="F5" s="87"/>
      <c r="G5" s="87"/>
      <c r="H5" s="87"/>
      <c r="I5" s="87"/>
      <c r="J5" s="87"/>
      <c r="K5" s="87"/>
      <c r="L5" s="87"/>
    </row>
    <row r="9" spans="2:15">
      <c r="D9" s="92" t="s">
        <v>2877</v>
      </c>
      <c r="E9" s="94"/>
    </row>
    <row r="10" spans="2:15">
      <c r="D10" s="95"/>
      <c r="E10" s="97"/>
    </row>
    <row r="11" spans="2:15">
      <c r="D11" s="89" t="s">
        <v>3250</v>
      </c>
      <c r="E11" s="89" t="s">
        <v>3327</v>
      </c>
    </row>
    <row r="12" spans="2:15">
      <c r="D12" s="90"/>
      <c r="E12" s="90"/>
    </row>
    <row r="13" spans="2:15">
      <c r="D13" s="90"/>
      <c r="E13" s="90"/>
    </row>
    <row r="14" spans="2:15">
      <c r="D14" s="91"/>
      <c r="E14" s="91"/>
    </row>
    <row r="15" spans="2:15">
      <c r="D15" s="45" t="s">
        <v>2879</v>
      </c>
      <c r="E15" s="45" t="s">
        <v>3328</v>
      </c>
      <c r="J15" s="13" t="str">
        <f>Show!$B$33&amp;"SE.02.01.17.01 Rows {"&amp;COLUMN($C$1)&amp;"}"&amp;"@ForceFilingCode:true"</f>
        <v>!SE.02.01.17.01 Rows {3}@ForceFilingCode:true</v>
      </c>
      <c r="K15" s="13" t="str">
        <f>Show!$B$33&amp;"SE.02.01.17.01 Columns {"&amp;COLUMN($D$1)&amp;"}"</f>
        <v>!SE.02.01.17.01 Columns {4}</v>
      </c>
    </row>
    <row r="16" spans="2:15">
      <c r="B16" s="43" t="s">
        <v>2880</v>
      </c>
      <c r="C16" s="44" t="s">
        <v>2878</v>
      </c>
      <c r="D16" s="58"/>
      <c r="E16" s="59"/>
    </row>
    <row r="17" spans="2:5">
      <c r="B17" s="47" t="s">
        <v>3252</v>
      </c>
      <c r="C17" s="44" t="s">
        <v>2878</v>
      </c>
      <c r="D17" s="58"/>
      <c r="E17" s="59"/>
    </row>
    <row r="18" spans="2:5">
      <c r="B18" s="49" t="s">
        <v>3253</v>
      </c>
      <c r="C18" s="44" t="s">
        <v>2883</v>
      </c>
      <c r="D18" s="58"/>
      <c r="E18" s="48"/>
    </row>
    <row r="19" spans="2:5">
      <c r="B19" s="49" t="s">
        <v>3254</v>
      </c>
      <c r="C19" s="44" t="s">
        <v>2885</v>
      </c>
      <c r="D19" s="56"/>
      <c r="E19" s="46"/>
    </row>
    <row r="20" spans="2:5">
      <c r="B20" s="49" t="s">
        <v>3255</v>
      </c>
      <c r="C20" s="41" t="s">
        <v>2887</v>
      </c>
      <c r="D20" s="60"/>
      <c r="E20" s="60"/>
    </row>
    <row r="21" spans="2:5">
      <c r="B21" s="49" t="s">
        <v>3256</v>
      </c>
      <c r="C21" s="41" t="s">
        <v>2889</v>
      </c>
      <c r="D21" s="60"/>
      <c r="E21" s="60"/>
    </row>
    <row r="22" spans="2:5">
      <c r="B22" s="49" t="s">
        <v>3257</v>
      </c>
      <c r="C22" s="41" t="s">
        <v>3078</v>
      </c>
      <c r="D22" s="60"/>
      <c r="E22" s="60"/>
    </row>
    <row r="23" spans="2:5">
      <c r="B23" s="49" t="s">
        <v>3258</v>
      </c>
      <c r="C23" s="41" t="s">
        <v>2891</v>
      </c>
      <c r="D23" s="60"/>
      <c r="E23" s="60"/>
    </row>
    <row r="24" spans="2:5">
      <c r="B24" s="49" t="s">
        <v>3259</v>
      </c>
      <c r="C24" s="41" t="s">
        <v>2893</v>
      </c>
      <c r="D24" s="60"/>
      <c r="E24" s="60"/>
    </row>
    <row r="25" spans="2:5">
      <c r="B25" s="61" t="s">
        <v>3260</v>
      </c>
      <c r="C25" s="41" t="s">
        <v>2895</v>
      </c>
      <c r="D25" s="60"/>
      <c r="E25" s="60"/>
    </row>
    <row r="26" spans="2:5">
      <c r="B26" s="61" t="s">
        <v>3261</v>
      </c>
      <c r="C26" s="41" t="s">
        <v>2897</v>
      </c>
      <c r="D26" s="60"/>
      <c r="E26" s="60"/>
    </row>
    <row r="27" spans="2:5">
      <c r="B27" s="61" t="s">
        <v>2480</v>
      </c>
      <c r="C27" s="41" t="s">
        <v>2899</v>
      </c>
      <c r="D27" s="60"/>
      <c r="E27" s="60"/>
    </row>
    <row r="28" spans="2:5">
      <c r="B28" s="62" t="s">
        <v>3262</v>
      </c>
      <c r="C28" s="41" t="s">
        <v>2901</v>
      </c>
      <c r="D28" s="60"/>
      <c r="E28" s="60"/>
    </row>
    <row r="29" spans="2:5">
      <c r="B29" s="62" t="s">
        <v>3263</v>
      </c>
      <c r="C29" s="41" t="s">
        <v>2903</v>
      </c>
      <c r="D29" s="60"/>
      <c r="E29" s="60"/>
    </row>
    <row r="30" spans="2:5">
      <c r="B30" s="61" t="s">
        <v>3264</v>
      </c>
      <c r="C30" s="41" t="s">
        <v>2905</v>
      </c>
      <c r="D30" s="60"/>
      <c r="E30" s="60"/>
    </row>
    <row r="31" spans="2:5">
      <c r="B31" s="62" t="s">
        <v>2372</v>
      </c>
      <c r="C31" s="41" t="s">
        <v>2907</v>
      </c>
      <c r="D31" s="60"/>
      <c r="E31" s="60"/>
    </row>
    <row r="32" spans="2:5">
      <c r="B32" s="62" t="s">
        <v>2373</v>
      </c>
      <c r="C32" s="41" t="s">
        <v>2909</v>
      </c>
      <c r="D32" s="60"/>
      <c r="E32" s="60"/>
    </row>
    <row r="33" spans="2:5">
      <c r="B33" s="62" t="s">
        <v>2377</v>
      </c>
      <c r="C33" s="41" t="s">
        <v>2911</v>
      </c>
      <c r="D33" s="60"/>
      <c r="E33" s="60"/>
    </row>
    <row r="34" spans="2:5">
      <c r="B34" s="62" t="s">
        <v>2378</v>
      </c>
      <c r="C34" s="41" t="s">
        <v>2913</v>
      </c>
      <c r="D34" s="60"/>
      <c r="E34" s="60"/>
    </row>
    <row r="35" spans="2:5">
      <c r="B35" s="61" t="s">
        <v>3265</v>
      </c>
      <c r="C35" s="41" t="s">
        <v>2915</v>
      </c>
      <c r="D35" s="60"/>
      <c r="E35" s="60"/>
    </row>
    <row r="36" spans="2:5">
      <c r="B36" s="61" t="s">
        <v>2481</v>
      </c>
      <c r="C36" s="41" t="s">
        <v>2917</v>
      </c>
      <c r="D36" s="60"/>
      <c r="E36" s="60"/>
    </row>
    <row r="37" spans="2:5">
      <c r="B37" s="61" t="s">
        <v>3266</v>
      </c>
      <c r="C37" s="41" t="s">
        <v>2919</v>
      </c>
      <c r="D37" s="60"/>
      <c r="E37" s="60"/>
    </row>
    <row r="38" spans="2:5">
      <c r="B38" s="61" t="s">
        <v>2382</v>
      </c>
      <c r="C38" s="41" t="s">
        <v>2921</v>
      </c>
      <c r="D38" s="60"/>
      <c r="E38" s="60"/>
    </row>
    <row r="39" spans="2:5">
      <c r="B39" s="49" t="s">
        <v>3267</v>
      </c>
      <c r="C39" s="41" t="s">
        <v>2923</v>
      </c>
      <c r="D39" s="60"/>
      <c r="E39" s="60"/>
    </row>
    <row r="40" spans="2:5">
      <c r="B40" s="49" t="s">
        <v>3268</v>
      </c>
      <c r="C40" s="41" t="s">
        <v>2925</v>
      </c>
      <c r="D40" s="60"/>
      <c r="E40" s="60"/>
    </row>
    <row r="41" spans="2:5">
      <c r="B41" s="61" t="s">
        <v>3269</v>
      </c>
      <c r="C41" s="41" t="s">
        <v>2927</v>
      </c>
      <c r="D41" s="60"/>
      <c r="E41" s="60"/>
    </row>
    <row r="42" spans="2:5">
      <c r="B42" s="61" t="s">
        <v>3270</v>
      </c>
      <c r="C42" s="41" t="s">
        <v>2929</v>
      </c>
      <c r="D42" s="60"/>
      <c r="E42" s="60"/>
    </row>
    <row r="43" spans="2:5">
      <c r="B43" s="61" t="s">
        <v>3271</v>
      </c>
      <c r="C43" s="41" t="s">
        <v>2931</v>
      </c>
      <c r="D43" s="60"/>
      <c r="E43" s="60"/>
    </row>
    <row r="44" spans="2:5">
      <c r="B44" s="49" t="s">
        <v>3272</v>
      </c>
      <c r="C44" s="41" t="s">
        <v>2933</v>
      </c>
      <c r="D44" s="60"/>
      <c r="E44" s="63"/>
    </row>
    <row r="45" spans="2:5">
      <c r="B45" s="61" t="s">
        <v>3273</v>
      </c>
      <c r="C45" s="41" t="s">
        <v>2935</v>
      </c>
      <c r="D45" s="64"/>
      <c r="E45" s="48"/>
    </row>
    <row r="46" spans="2:5">
      <c r="B46" s="62" t="s">
        <v>3274</v>
      </c>
      <c r="C46" s="41" t="s">
        <v>2937</v>
      </c>
      <c r="D46" s="64"/>
      <c r="E46" s="48"/>
    </row>
    <row r="47" spans="2:5">
      <c r="B47" s="62" t="s">
        <v>3275</v>
      </c>
      <c r="C47" s="41" t="s">
        <v>2939</v>
      </c>
      <c r="D47" s="64"/>
      <c r="E47" s="48"/>
    </row>
    <row r="48" spans="2:5">
      <c r="B48" s="61" t="s">
        <v>3276</v>
      </c>
      <c r="C48" s="41" t="s">
        <v>2941</v>
      </c>
      <c r="D48" s="64"/>
      <c r="E48" s="48"/>
    </row>
    <row r="49" spans="2:5">
      <c r="B49" s="62" t="s">
        <v>3277</v>
      </c>
      <c r="C49" s="41" t="s">
        <v>2943</v>
      </c>
      <c r="D49" s="64"/>
      <c r="E49" s="48"/>
    </row>
    <row r="50" spans="2:5">
      <c r="B50" s="62" t="s">
        <v>3278</v>
      </c>
      <c r="C50" s="41" t="s">
        <v>2945</v>
      </c>
      <c r="D50" s="64"/>
      <c r="E50" s="48"/>
    </row>
    <row r="51" spans="2:5">
      <c r="B51" s="61" t="s">
        <v>3279</v>
      </c>
      <c r="C51" s="41" t="s">
        <v>2947</v>
      </c>
      <c r="D51" s="64"/>
      <c r="E51" s="46"/>
    </row>
    <row r="52" spans="2:5">
      <c r="B52" s="49" t="s">
        <v>3280</v>
      </c>
      <c r="C52" s="41" t="s">
        <v>2949</v>
      </c>
      <c r="D52" s="60"/>
      <c r="E52" s="60"/>
    </row>
    <row r="53" spans="2:5">
      <c r="B53" s="49" t="s">
        <v>3281</v>
      </c>
      <c r="C53" s="41" t="s">
        <v>2951</v>
      </c>
      <c r="D53" s="60"/>
      <c r="E53" s="60"/>
    </row>
    <row r="54" spans="2:5">
      <c r="B54" s="49" t="s">
        <v>3282</v>
      </c>
      <c r="C54" s="41" t="s">
        <v>2953</v>
      </c>
      <c r="D54" s="60"/>
      <c r="E54" s="60"/>
    </row>
    <row r="55" spans="2:5">
      <c r="B55" s="49" t="s">
        <v>3283</v>
      </c>
      <c r="C55" s="41" t="s">
        <v>2955</v>
      </c>
      <c r="D55" s="60"/>
      <c r="E55" s="60"/>
    </row>
    <row r="56" spans="2:5">
      <c r="B56" s="49" t="s">
        <v>3284</v>
      </c>
      <c r="C56" s="41" t="s">
        <v>2957</v>
      </c>
      <c r="D56" s="60"/>
      <c r="E56" s="60"/>
    </row>
    <row r="57" spans="2:5">
      <c r="B57" s="49" t="s">
        <v>3285</v>
      </c>
      <c r="C57" s="41" t="s">
        <v>2959</v>
      </c>
      <c r="D57" s="60"/>
      <c r="E57" s="60"/>
    </row>
    <row r="58" spans="2:5">
      <c r="B58" s="49" t="s">
        <v>3286</v>
      </c>
      <c r="C58" s="41" t="s">
        <v>2961</v>
      </c>
      <c r="D58" s="60"/>
      <c r="E58" s="60"/>
    </row>
    <row r="59" spans="2:5">
      <c r="B59" s="49" t="s">
        <v>3287</v>
      </c>
      <c r="C59" s="41" t="s">
        <v>2963</v>
      </c>
      <c r="D59" s="60"/>
      <c r="E59" s="60"/>
    </row>
    <row r="60" spans="2:5">
      <c r="B60" s="49" t="s">
        <v>3288</v>
      </c>
      <c r="C60" s="41" t="s">
        <v>2977</v>
      </c>
      <c r="D60" s="63"/>
      <c r="E60" s="63"/>
    </row>
    <row r="61" spans="2:5">
      <c r="B61" s="47" t="s">
        <v>2389</v>
      </c>
      <c r="C61" s="44" t="s">
        <v>2878</v>
      </c>
      <c r="D61" s="56"/>
      <c r="E61" s="57"/>
    </row>
    <row r="62" spans="2:5">
      <c r="B62" s="49" t="s">
        <v>3289</v>
      </c>
      <c r="C62" s="41" t="s">
        <v>2979</v>
      </c>
      <c r="D62" s="60"/>
      <c r="E62" s="63"/>
    </row>
    <row r="63" spans="2:5">
      <c r="B63" s="61" t="s">
        <v>3290</v>
      </c>
      <c r="C63" s="41" t="s">
        <v>2981</v>
      </c>
      <c r="D63" s="64"/>
      <c r="E63" s="48"/>
    </row>
    <row r="64" spans="2:5">
      <c r="B64" s="62" t="s">
        <v>3291</v>
      </c>
      <c r="C64" s="41" t="s">
        <v>2983</v>
      </c>
      <c r="D64" s="64"/>
      <c r="E64" s="48"/>
    </row>
    <row r="65" spans="2:5">
      <c r="B65" s="62" t="s">
        <v>3292</v>
      </c>
      <c r="C65" s="41" t="s">
        <v>2985</v>
      </c>
      <c r="D65" s="64"/>
      <c r="E65" s="48"/>
    </row>
    <row r="66" spans="2:5">
      <c r="B66" s="62" t="s">
        <v>3293</v>
      </c>
      <c r="C66" s="41" t="s">
        <v>2987</v>
      </c>
      <c r="D66" s="64"/>
      <c r="E66" s="48"/>
    </row>
    <row r="67" spans="2:5">
      <c r="B67" s="61" t="s">
        <v>3294</v>
      </c>
      <c r="C67" s="41" t="s">
        <v>2989</v>
      </c>
      <c r="D67" s="64"/>
      <c r="E67" s="48"/>
    </row>
    <row r="68" spans="2:5">
      <c r="B68" s="62" t="s">
        <v>3291</v>
      </c>
      <c r="C68" s="41" t="s">
        <v>2991</v>
      </c>
      <c r="D68" s="64"/>
      <c r="E68" s="48"/>
    </row>
    <row r="69" spans="2:5">
      <c r="B69" s="62" t="s">
        <v>3292</v>
      </c>
      <c r="C69" s="41" t="s">
        <v>2993</v>
      </c>
      <c r="D69" s="64"/>
      <c r="E69" s="48"/>
    </row>
    <row r="70" spans="2:5">
      <c r="B70" s="62" t="s">
        <v>3293</v>
      </c>
      <c r="C70" s="41" t="s">
        <v>2995</v>
      </c>
      <c r="D70" s="64"/>
      <c r="E70" s="46"/>
    </row>
    <row r="71" spans="2:5">
      <c r="B71" s="49" t="s">
        <v>3295</v>
      </c>
      <c r="C71" s="41" t="s">
        <v>2997</v>
      </c>
      <c r="D71" s="60"/>
      <c r="E71" s="63"/>
    </row>
    <row r="72" spans="2:5">
      <c r="B72" s="61" t="s">
        <v>3296</v>
      </c>
      <c r="C72" s="41" t="s">
        <v>2999</v>
      </c>
      <c r="D72" s="64"/>
      <c r="E72" s="48"/>
    </row>
    <row r="73" spans="2:5">
      <c r="B73" s="62" t="s">
        <v>3291</v>
      </c>
      <c r="C73" s="41" t="s">
        <v>3001</v>
      </c>
      <c r="D73" s="64"/>
      <c r="E73" s="48"/>
    </row>
    <row r="74" spans="2:5">
      <c r="B74" s="62" t="s">
        <v>3292</v>
      </c>
      <c r="C74" s="41" t="s">
        <v>3003</v>
      </c>
      <c r="D74" s="64"/>
      <c r="E74" s="48"/>
    </row>
    <row r="75" spans="2:5">
      <c r="B75" s="62" t="s">
        <v>3293</v>
      </c>
      <c r="C75" s="41" t="s">
        <v>3005</v>
      </c>
      <c r="D75" s="64"/>
      <c r="E75" s="48"/>
    </row>
    <row r="76" spans="2:5">
      <c r="B76" s="61" t="s">
        <v>3297</v>
      </c>
      <c r="C76" s="41" t="s">
        <v>3007</v>
      </c>
      <c r="D76" s="64"/>
      <c r="E76" s="48"/>
    </row>
    <row r="77" spans="2:5">
      <c r="B77" s="62" t="s">
        <v>3291</v>
      </c>
      <c r="C77" s="41" t="s">
        <v>3009</v>
      </c>
      <c r="D77" s="64"/>
      <c r="E77" s="48"/>
    </row>
    <row r="78" spans="2:5">
      <c r="B78" s="62" t="s">
        <v>3292</v>
      </c>
      <c r="C78" s="41" t="s">
        <v>3011</v>
      </c>
      <c r="D78" s="64"/>
      <c r="E78" s="48"/>
    </row>
    <row r="79" spans="2:5">
      <c r="B79" s="62" t="s">
        <v>3293</v>
      </c>
      <c r="C79" s="41" t="s">
        <v>3013</v>
      </c>
      <c r="D79" s="64"/>
      <c r="E79" s="46"/>
    </row>
    <row r="80" spans="2:5">
      <c r="B80" s="49" t="s">
        <v>3298</v>
      </c>
      <c r="C80" s="41" t="s">
        <v>3015</v>
      </c>
      <c r="D80" s="60"/>
      <c r="E80" s="63"/>
    </row>
    <row r="81" spans="2:5">
      <c r="B81" s="61" t="s">
        <v>3291</v>
      </c>
      <c r="C81" s="41" t="s">
        <v>3064</v>
      </c>
      <c r="D81" s="64"/>
      <c r="E81" s="48"/>
    </row>
    <row r="82" spans="2:5">
      <c r="B82" s="61" t="s">
        <v>3292</v>
      </c>
      <c r="C82" s="41" t="s">
        <v>3066</v>
      </c>
      <c r="D82" s="64"/>
      <c r="E82" s="48"/>
    </row>
    <row r="83" spans="2:5">
      <c r="B83" s="61" t="s">
        <v>3293</v>
      </c>
      <c r="C83" s="41" t="s">
        <v>3068</v>
      </c>
      <c r="D83" s="65"/>
      <c r="E83" s="48"/>
    </row>
    <row r="84" spans="2:5">
      <c r="B84" s="49" t="s">
        <v>3299</v>
      </c>
      <c r="C84" s="44" t="s">
        <v>3070</v>
      </c>
      <c r="D84" s="56"/>
      <c r="E84" s="46"/>
    </row>
    <row r="85" spans="2:5">
      <c r="B85" s="49" t="s">
        <v>2698</v>
      </c>
      <c r="C85" s="41" t="s">
        <v>3017</v>
      </c>
      <c r="D85" s="60"/>
      <c r="E85" s="60"/>
    </row>
    <row r="86" spans="2:5">
      <c r="B86" s="49" t="s">
        <v>3300</v>
      </c>
      <c r="C86" s="41" t="s">
        <v>3019</v>
      </c>
      <c r="D86" s="60"/>
      <c r="E86" s="60"/>
    </row>
    <row r="87" spans="2:5">
      <c r="B87" s="49" t="s">
        <v>3301</v>
      </c>
      <c r="C87" s="41" t="s">
        <v>3021</v>
      </c>
      <c r="D87" s="60"/>
      <c r="E87" s="60"/>
    </row>
    <row r="88" spans="2:5">
      <c r="B88" s="49" t="s">
        <v>3302</v>
      </c>
      <c r="C88" s="41" t="s">
        <v>3023</v>
      </c>
      <c r="D88" s="60"/>
      <c r="E88" s="60"/>
    </row>
    <row r="89" spans="2:5">
      <c r="B89" s="49" t="s">
        <v>3303</v>
      </c>
      <c r="C89" s="41" t="s">
        <v>3072</v>
      </c>
      <c r="D89" s="60"/>
      <c r="E89" s="60"/>
    </row>
    <row r="90" spans="2:5">
      <c r="B90" s="49" t="s">
        <v>2481</v>
      </c>
      <c r="C90" s="41" t="s">
        <v>3118</v>
      </c>
      <c r="D90" s="60"/>
      <c r="E90" s="60"/>
    </row>
    <row r="91" spans="2:5">
      <c r="B91" s="49" t="s">
        <v>3304</v>
      </c>
      <c r="C91" s="41" t="s">
        <v>3120</v>
      </c>
      <c r="D91" s="60"/>
      <c r="E91" s="60"/>
    </row>
    <row r="92" spans="2:5">
      <c r="B92" s="61" t="s">
        <v>3329</v>
      </c>
      <c r="C92" s="41" t="s">
        <v>3330</v>
      </c>
      <c r="D92" s="60"/>
      <c r="E92" s="60"/>
    </row>
    <row r="93" spans="2:5">
      <c r="B93" s="61" t="s">
        <v>3331</v>
      </c>
      <c r="C93" s="41" t="s">
        <v>3332</v>
      </c>
      <c r="D93" s="60"/>
      <c r="E93" s="60"/>
    </row>
    <row r="94" spans="2:5">
      <c r="B94" s="61" t="s">
        <v>3333</v>
      </c>
      <c r="C94" s="41" t="s">
        <v>3334</v>
      </c>
      <c r="D94" s="60"/>
      <c r="E94" s="60"/>
    </row>
    <row r="95" spans="2:5">
      <c r="B95" s="49" t="s">
        <v>3305</v>
      </c>
      <c r="C95" s="41" t="s">
        <v>3122</v>
      </c>
      <c r="D95" s="60"/>
      <c r="E95" s="60"/>
    </row>
    <row r="96" spans="2:5">
      <c r="B96" s="61" t="s">
        <v>3335</v>
      </c>
      <c r="C96" s="41" t="s">
        <v>3336</v>
      </c>
      <c r="D96" s="60"/>
      <c r="E96" s="60"/>
    </row>
    <row r="97" spans="2:11">
      <c r="B97" s="62" t="s">
        <v>3337</v>
      </c>
      <c r="C97" s="41" t="s">
        <v>3338</v>
      </c>
      <c r="D97" s="60"/>
      <c r="E97" s="60"/>
    </row>
    <row r="98" spans="2:11">
      <c r="B98" s="62" t="s">
        <v>3339</v>
      </c>
      <c r="C98" s="41" t="s">
        <v>3340</v>
      </c>
      <c r="D98" s="60"/>
      <c r="E98" s="60"/>
    </row>
    <row r="99" spans="2:11">
      <c r="B99" s="62" t="s">
        <v>3341</v>
      </c>
      <c r="C99" s="41" t="s">
        <v>3342</v>
      </c>
      <c r="D99" s="60"/>
      <c r="E99" s="60"/>
    </row>
    <row r="100" spans="2:11">
      <c r="B100" s="61" t="s">
        <v>3343</v>
      </c>
      <c r="C100" s="41" t="s">
        <v>3344</v>
      </c>
      <c r="D100" s="60"/>
      <c r="E100" s="60"/>
    </row>
    <row r="101" spans="2:11">
      <c r="B101" s="49" t="s">
        <v>3306</v>
      </c>
      <c r="C101" s="41" t="s">
        <v>3124</v>
      </c>
      <c r="D101" s="60"/>
      <c r="E101" s="60"/>
    </row>
    <row r="102" spans="2:11">
      <c r="B102" s="49" t="s">
        <v>3307</v>
      </c>
      <c r="C102" s="41" t="s">
        <v>3126</v>
      </c>
      <c r="D102" s="60"/>
      <c r="E102" s="60"/>
    </row>
    <row r="103" spans="2:11">
      <c r="B103" s="49" t="s">
        <v>3308</v>
      </c>
      <c r="C103" s="41" t="s">
        <v>3128</v>
      </c>
      <c r="D103" s="60"/>
      <c r="E103" s="60"/>
    </row>
    <row r="104" spans="2:11">
      <c r="B104" s="49" t="s">
        <v>3309</v>
      </c>
      <c r="C104" s="41" t="s">
        <v>3130</v>
      </c>
      <c r="D104" s="60"/>
      <c r="E104" s="60"/>
    </row>
    <row r="105" spans="2:11">
      <c r="B105" s="61" t="s">
        <v>3310</v>
      </c>
      <c r="C105" s="41" t="s">
        <v>3132</v>
      </c>
      <c r="D105" s="60"/>
      <c r="E105" s="60"/>
    </row>
    <row r="106" spans="2:11">
      <c r="B106" s="61" t="s">
        <v>3311</v>
      </c>
      <c r="C106" s="41" t="s">
        <v>3134</v>
      </c>
      <c r="D106" s="60"/>
      <c r="E106" s="60"/>
    </row>
    <row r="107" spans="2:11">
      <c r="B107" s="49" t="s">
        <v>3312</v>
      </c>
      <c r="C107" s="41" t="s">
        <v>3136</v>
      </c>
      <c r="D107" s="60"/>
      <c r="E107" s="60"/>
    </row>
    <row r="108" spans="2:11">
      <c r="B108" s="49" t="s">
        <v>3313</v>
      </c>
      <c r="C108" s="41" t="s">
        <v>3140</v>
      </c>
      <c r="D108" s="60"/>
      <c r="E108" s="60"/>
    </row>
    <row r="109" spans="2:11">
      <c r="B109" s="47" t="s">
        <v>3314</v>
      </c>
      <c r="C109" s="41" t="s">
        <v>3315</v>
      </c>
      <c r="D109" s="60"/>
      <c r="E109" s="60"/>
    </row>
    <row r="111" spans="2:11">
      <c r="J111" s="13" t="str">
        <f>Show!$B$33&amp;Show!$B$33&amp;"SE.02.01.17.01 Rows {"&amp;COLUMN($C$1)&amp;"}"</f>
        <v>!!SE.02.01.17.01 Rows {3}</v>
      </c>
      <c r="K111" s="13" t="str">
        <f>Show!$B$33&amp;Show!$B$33&amp;"SE.02.01.17.01 Columns {"&amp;COLUMN($E$1)&amp;"}"</f>
        <v>!!SE.02.01.17.01 Columns {5}</v>
      </c>
    </row>
  </sheetData>
  <sheetProtection sheet="1" objects="1" scenarios="1"/>
  <mergeCells count="5">
    <mergeCell ref="B2:O2"/>
    <mergeCell ref="B5:L5"/>
    <mergeCell ref="D9:E10"/>
    <mergeCell ref="D11:D14"/>
    <mergeCell ref="E11:E14"/>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25C47-3AE1-4F35-A2E9-A48040D442A8}">
  <sheetPr codeName="Blad38"/>
  <dimension ref="B2:O106"/>
  <sheetViews>
    <sheetView showGridLines="0" workbookViewId="0"/>
  </sheetViews>
  <sheetFormatPr defaultRowHeight="15"/>
  <cols>
    <col min="2" max="2" width="83.7109375" bestFit="1" customWidth="1"/>
    <col min="4" max="6" width="15.7109375" customWidth="1"/>
  </cols>
  <sheetData>
    <row r="2" spans="2:15" ht="23.25">
      <c r="B2" s="86" t="s">
        <v>555</v>
      </c>
      <c r="C2" s="87"/>
      <c r="D2" s="87"/>
      <c r="E2" s="87"/>
      <c r="F2" s="87"/>
      <c r="G2" s="87"/>
      <c r="H2" s="87"/>
      <c r="I2" s="87"/>
      <c r="J2" s="87"/>
      <c r="K2" s="87"/>
      <c r="L2" s="87"/>
      <c r="M2" s="87"/>
      <c r="N2" s="87"/>
      <c r="O2" s="87"/>
    </row>
    <row r="5" spans="2:15" ht="18.75">
      <c r="B5" s="88" t="s">
        <v>3346</v>
      </c>
      <c r="C5" s="87"/>
      <c r="D5" s="87"/>
      <c r="E5" s="87"/>
      <c r="F5" s="87"/>
      <c r="G5" s="87"/>
      <c r="H5" s="87"/>
      <c r="I5" s="87"/>
      <c r="J5" s="87"/>
      <c r="K5" s="87"/>
      <c r="L5" s="87"/>
    </row>
    <row r="9" spans="2:15">
      <c r="D9" s="92" t="s">
        <v>2877</v>
      </c>
      <c r="E9" s="93"/>
      <c r="F9" s="94"/>
    </row>
    <row r="10" spans="2:15">
      <c r="D10" s="95"/>
      <c r="E10" s="96"/>
      <c r="F10" s="97"/>
    </row>
    <row r="11" spans="2:15">
      <c r="D11" s="89" t="s">
        <v>3250</v>
      </c>
      <c r="E11" s="89" t="s">
        <v>3318</v>
      </c>
      <c r="F11" s="89" t="s">
        <v>3327</v>
      </c>
    </row>
    <row r="12" spans="2:15">
      <c r="D12" s="90"/>
      <c r="E12" s="90"/>
      <c r="F12" s="90"/>
    </row>
    <row r="13" spans="2:15">
      <c r="D13" s="90"/>
      <c r="E13" s="90"/>
      <c r="F13" s="90"/>
    </row>
    <row r="14" spans="2:15">
      <c r="D14" s="91"/>
      <c r="E14" s="91"/>
      <c r="F14" s="91"/>
    </row>
    <row r="15" spans="2:15">
      <c r="D15" s="45" t="s">
        <v>2879</v>
      </c>
      <c r="E15" s="45" t="s">
        <v>3219</v>
      </c>
      <c r="F15" s="45" t="s">
        <v>3328</v>
      </c>
      <c r="K15" s="13" t="str">
        <f>Show!$B$34&amp;"SE.02.01.18.01 Rows {"&amp;COLUMN($C$1)&amp;"}"&amp;"@ForceFilingCode:true"</f>
        <v>!SE.02.01.18.01 Rows {3}@ForceFilingCode:true</v>
      </c>
      <c r="L15" s="13" t="str">
        <f>Show!$B$34&amp;"SE.02.01.18.01 Columns {"&amp;COLUMN($D$1)&amp;"}"</f>
        <v>!SE.02.01.18.01 Columns {4}</v>
      </c>
    </row>
    <row r="16" spans="2:15">
      <c r="B16" s="43" t="s">
        <v>2880</v>
      </c>
      <c r="C16" s="44" t="s">
        <v>2878</v>
      </c>
      <c r="D16" s="58"/>
      <c r="E16" s="67"/>
      <c r="F16" s="59"/>
    </row>
    <row r="17" spans="2:6">
      <c r="B17" s="47" t="s">
        <v>3252</v>
      </c>
      <c r="C17" s="44" t="s">
        <v>2878</v>
      </c>
      <c r="D17" s="58"/>
      <c r="E17" s="66"/>
      <c r="F17" s="59"/>
    </row>
    <row r="18" spans="2:6">
      <c r="B18" s="49" t="s">
        <v>3253</v>
      </c>
      <c r="C18" s="44" t="s">
        <v>2883</v>
      </c>
      <c r="D18" s="48"/>
      <c r="E18" s="64"/>
      <c r="F18" s="48"/>
    </row>
    <row r="19" spans="2:6">
      <c r="B19" s="49" t="s">
        <v>3254</v>
      </c>
      <c r="C19" s="44" t="s">
        <v>2885</v>
      </c>
      <c r="D19" s="46"/>
      <c r="E19" s="64"/>
      <c r="F19" s="46"/>
    </row>
    <row r="20" spans="2:6">
      <c r="B20" s="49" t="s">
        <v>3255</v>
      </c>
      <c r="C20" s="41" t="s">
        <v>2887</v>
      </c>
      <c r="D20" s="60"/>
      <c r="E20" s="60"/>
      <c r="F20" s="60"/>
    </row>
    <row r="21" spans="2:6">
      <c r="B21" s="49" t="s">
        <v>3256</v>
      </c>
      <c r="C21" s="41" t="s">
        <v>2889</v>
      </c>
      <c r="D21" s="60"/>
      <c r="E21" s="60"/>
      <c r="F21" s="60"/>
    </row>
    <row r="22" spans="2:6">
      <c r="B22" s="49" t="s">
        <v>3257</v>
      </c>
      <c r="C22" s="41" t="s">
        <v>3078</v>
      </c>
      <c r="D22" s="60"/>
      <c r="E22" s="60"/>
      <c r="F22" s="60"/>
    </row>
    <row r="23" spans="2:6">
      <c r="B23" s="49" t="s">
        <v>3258</v>
      </c>
      <c r="C23" s="41" t="s">
        <v>2891</v>
      </c>
      <c r="D23" s="60"/>
      <c r="E23" s="60"/>
      <c r="F23" s="60"/>
    </row>
    <row r="24" spans="2:6">
      <c r="B24" s="49" t="s">
        <v>3259</v>
      </c>
      <c r="C24" s="41" t="s">
        <v>2893</v>
      </c>
      <c r="D24" s="60"/>
      <c r="E24" s="60"/>
      <c r="F24" s="60"/>
    </row>
    <row r="25" spans="2:6">
      <c r="B25" s="61" t="s">
        <v>3260</v>
      </c>
      <c r="C25" s="41" t="s">
        <v>2895</v>
      </c>
      <c r="D25" s="60"/>
      <c r="E25" s="60"/>
      <c r="F25" s="60"/>
    </row>
    <row r="26" spans="2:6">
      <c r="B26" s="61" t="s">
        <v>3261</v>
      </c>
      <c r="C26" s="41" t="s">
        <v>2897</v>
      </c>
      <c r="D26" s="60"/>
      <c r="E26" s="60"/>
      <c r="F26" s="60"/>
    </row>
    <row r="27" spans="2:6">
      <c r="B27" s="61" t="s">
        <v>2480</v>
      </c>
      <c r="C27" s="41" t="s">
        <v>2899</v>
      </c>
      <c r="D27" s="60"/>
      <c r="E27" s="60"/>
      <c r="F27" s="60"/>
    </row>
    <row r="28" spans="2:6">
      <c r="B28" s="62" t="s">
        <v>3262</v>
      </c>
      <c r="C28" s="41" t="s">
        <v>2901</v>
      </c>
      <c r="D28" s="60"/>
      <c r="E28" s="60"/>
      <c r="F28" s="60"/>
    </row>
    <row r="29" spans="2:6">
      <c r="B29" s="62" t="s">
        <v>3263</v>
      </c>
      <c r="C29" s="41" t="s">
        <v>2903</v>
      </c>
      <c r="D29" s="60"/>
      <c r="E29" s="60"/>
      <c r="F29" s="60"/>
    </row>
    <row r="30" spans="2:6">
      <c r="B30" s="61" t="s">
        <v>3264</v>
      </c>
      <c r="C30" s="41" t="s">
        <v>2905</v>
      </c>
      <c r="D30" s="60"/>
      <c r="E30" s="60"/>
      <c r="F30" s="60"/>
    </row>
    <row r="31" spans="2:6">
      <c r="B31" s="62" t="s">
        <v>2372</v>
      </c>
      <c r="C31" s="41" t="s">
        <v>2907</v>
      </c>
      <c r="D31" s="60"/>
      <c r="E31" s="60"/>
      <c r="F31" s="60"/>
    </row>
    <row r="32" spans="2:6">
      <c r="B32" s="62" t="s">
        <v>2373</v>
      </c>
      <c r="C32" s="41" t="s">
        <v>2909</v>
      </c>
      <c r="D32" s="60"/>
      <c r="E32" s="60"/>
      <c r="F32" s="60"/>
    </row>
    <row r="33" spans="2:6">
      <c r="B33" s="62" t="s">
        <v>2377</v>
      </c>
      <c r="C33" s="41" t="s">
        <v>2911</v>
      </c>
      <c r="D33" s="60"/>
      <c r="E33" s="60"/>
      <c r="F33" s="60"/>
    </row>
    <row r="34" spans="2:6">
      <c r="B34" s="62" t="s">
        <v>2378</v>
      </c>
      <c r="C34" s="41" t="s">
        <v>2913</v>
      </c>
      <c r="D34" s="60"/>
      <c r="E34" s="60"/>
      <c r="F34" s="60"/>
    </row>
    <row r="35" spans="2:6">
      <c r="B35" s="61" t="s">
        <v>3265</v>
      </c>
      <c r="C35" s="41" t="s">
        <v>2915</v>
      </c>
      <c r="D35" s="60"/>
      <c r="E35" s="60"/>
      <c r="F35" s="60"/>
    </row>
    <row r="36" spans="2:6">
      <c r="B36" s="61" t="s">
        <v>2481</v>
      </c>
      <c r="C36" s="41" t="s">
        <v>2917</v>
      </c>
      <c r="D36" s="60"/>
      <c r="E36" s="60"/>
      <c r="F36" s="60"/>
    </row>
    <row r="37" spans="2:6">
      <c r="B37" s="61" t="s">
        <v>3266</v>
      </c>
      <c r="C37" s="41" t="s">
        <v>2919</v>
      </c>
      <c r="D37" s="60"/>
      <c r="E37" s="60"/>
      <c r="F37" s="60"/>
    </row>
    <row r="38" spans="2:6">
      <c r="B38" s="61" t="s">
        <v>2382</v>
      </c>
      <c r="C38" s="41" t="s">
        <v>2921</v>
      </c>
      <c r="D38" s="60"/>
      <c r="E38" s="60"/>
      <c r="F38" s="60"/>
    </row>
    <row r="39" spans="2:6">
      <c r="B39" s="49" t="s">
        <v>3267</v>
      </c>
      <c r="C39" s="41" t="s">
        <v>2923</v>
      </c>
      <c r="D39" s="60"/>
      <c r="E39" s="60"/>
      <c r="F39" s="60"/>
    </row>
    <row r="40" spans="2:6">
      <c r="B40" s="49" t="s">
        <v>3268</v>
      </c>
      <c r="C40" s="41" t="s">
        <v>2925</v>
      </c>
      <c r="D40" s="60"/>
      <c r="E40" s="60"/>
      <c r="F40" s="60"/>
    </row>
    <row r="41" spans="2:6">
      <c r="B41" s="61" t="s">
        <v>3269</v>
      </c>
      <c r="C41" s="41" t="s">
        <v>2927</v>
      </c>
      <c r="D41" s="60"/>
      <c r="E41" s="60"/>
      <c r="F41" s="60"/>
    </row>
    <row r="42" spans="2:6">
      <c r="B42" s="61" t="s">
        <v>3270</v>
      </c>
      <c r="C42" s="41" t="s">
        <v>2929</v>
      </c>
      <c r="D42" s="60"/>
      <c r="E42" s="60"/>
      <c r="F42" s="60"/>
    </row>
    <row r="43" spans="2:6">
      <c r="B43" s="61" t="s">
        <v>3271</v>
      </c>
      <c r="C43" s="41" t="s">
        <v>2931</v>
      </c>
      <c r="D43" s="60"/>
      <c r="E43" s="60"/>
      <c r="F43" s="60"/>
    </row>
    <row r="44" spans="2:6">
      <c r="B44" s="49" t="s">
        <v>3272</v>
      </c>
      <c r="C44" s="41" t="s">
        <v>2933</v>
      </c>
      <c r="D44" s="60"/>
      <c r="E44" s="60"/>
      <c r="F44" s="63"/>
    </row>
    <row r="45" spans="2:6">
      <c r="B45" s="61" t="s">
        <v>3273</v>
      </c>
      <c r="C45" s="41" t="s">
        <v>2935</v>
      </c>
      <c r="D45" s="60"/>
      <c r="E45" s="64"/>
      <c r="F45" s="48"/>
    </row>
    <row r="46" spans="2:6">
      <c r="B46" s="62" t="s">
        <v>3274</v>
      </c>
      <c r="C46" s="41" t="s">
        <v>2937</v>
      </c>
      <c r="D46" s="60"/>
      <c r="E46" s="64"/>
      <c r="F46" s="48"/>
    </row>
    <row r="47" spans="2:6">
      <c r="B47" s="62" t="s">
        <v>3275</v>
      </c>
      <c r="C47" s="41" t="s">
        <v>2939</v>
      </c>
      <c r="D47" s="60"/>
      <c r="E47" s="64"/>
      <c r="F47" s="48"/>
    </row>
    <row r="48" spans="2:6">
      <c r="B48" s="61" t="s">
        <v>3276</v>
      </c>
      <c r="C48" s="41" t="s">
        <v>2941</v>
      </c>
      <c r="D48" s="60"/>
      <c r="E48" s="64"/>
      <c r="F48" s="48"/>
    </row>
    <row r="49" spans="2:6">
      <c r="B49" s="62" t="s">
        <v>3277</v>
      </c>
      <c r="C49" s="41" t="s">
        <v>2943</v>
      </c>
      <c r="D49" s="60"/>
      <c r="E49" s="64"/>
      <c r="F49" s="48"/>
    </row>
    <row r="50" spans="2:6">
      <c r="B50" s="62" t="s">
        <v>3278</v>
      </c>
      <c r="C50" s="41" t="s">
        <v>2945</v>
      </c>
      <c r="D50" s="60"/>
      <c r="E50" s="64"/>
      <c r="F50" s="48"/>
    </row>
    <row r="51" spans="2:6">
      <c r="B51" s="61" t="s">
        <v>3279</v>
      </c>
      <c r="C51" s="41" t="s">
        <v>2947</v>
      </c>
      <c r="D51" s="60"/>
      <c r="E51" s="64"/>
      <c r="F51" s="46"/>
    </row>
    <row r="52" spans="2:6">
      <c r="B52" s="49" t="s">
        <v>3280</v>
      </c>
      <c r="C52" s="41" t="s">
        <v>2949</v>
      </c>
      <c r="D52" s="60"/>
      <c r="E52" s="60"/>
      <c r="F52" s="60"/>
    </row>
    <row r="53" spans="2:6">
      <c r="B53" s="49" t="s">
        <v>3281</v>
      </c>
      <c r="C53" s="41" t="s">
        <v>2951</v>
      </c>
      <c r="D53" s="60"/>
      <c r="E53" s="60"/>
      <c r="F53" s="60"/>
    </row>
    <row r="54" spans="2:6">
      <c r="B54" s="49" t="s">
        <v>3282</v>
      </c>
      <c r="C54" s="41" t="s">
        <v>2953</v>
      </c>
      <c r="D54" s="60"/>
      <c r="E54" s="60"/>
      <c r="F54" s="60"/>
    </row>
    <row r="55" spans="2:6">
      <c r="B55" s="49" t="s">
        <v>3283</v>
      </c>
      <c r="C55" s="41" t="s">
        <v>2955</v>
      </c>
      <c r="D55" s="60"/>
      <c r="E55" s="60"/>
      <c r="F55" s="60"/>
    </row>
    <row r="56" spans="2:6">
      <c r="B56" s="49" t="s">
        <v>3286</v>
      </c>
      <c r="C56" s="41" t="s">
        <v>2961</v>
      </c>
      <c r="D56" s="60"/>
      <c r="E56" s="60"/>
      <c r="F56" s="60"/>
    </row>
    <row r="57" spans="2:6">
      <c r="B57" s="49" t="s">
        <v>3287</v>
      </c>
      <c r="C57" s="41" t="s">
        <v>2963</v>
      </c>
      <c r="D57" s="60"/>
      <c r="E57" s="60"/>
      <c r="F57" s="60"/>
    </row>
    <row r="58" spans="2:6">
      <c r="B58" s="49" t="s">
        <v>3288</v>
      </c>
      <c r="C58" s="41" t="s">
        <v>2977</v>
      </c>
      <c r="D58" s="63"/>
      <c r="E58" s="63"/>
      <c r="F58" s="63"/>
    </row>
    <row r="59" spans="2:6">
      <c r="B59" s="47" t="s">
        <v>2389</v>
      </c>
      <c r="C59" s="44" t="s">
        <v>2878</v>
      </c>
      <c r="D59" s="56"/>
      <c r="E59" s="66"/>
      <c r="F59" s="57"/>
    </row>
    <row r="60" spans="2:6">
      <c r="B60" s="49" t="s">
        <v>3289</v>
      </c>
      <c r="C60" s="41" t="s">
        <v>2979</v>
      </c>
      <c r="D60" s="60"/>
      <c r="E60" s="60"/>
      <c r="F60" s="63"/>
    </row>
    <row r="61" spans="2:6">
      <c r="B61" s="61" t="s">
        <v>3290</v>
      </c>
      <c r="C61" s="41" t="s">
        <v>2981</v>
      </c>
      <c r="D61" s="60"/>
      <c r="E61" s="65"/>
      <c r="F61" s="48"/>
    </row>
    <row r="62" spans="2:6">
      <c r="B62" s="62" t="s">
        <v>3291</v>
      </c>
      <c r="C62" s="41" t="s">
        <v>2983</v>
      </c>
      <c r="D62" s="64"/>
      <c r="E62" s="58"/>
      <c r="F62" s="48"/>
    </row>
    <row r="63" spans="2:6">
      <c r="B63" s="62" t="s">
        <v>3292</v>
      </c>
      <c r="C63" s="41" t="s">
        <v>2985</v>
      </c>
      <c r="D63" s="64"/>
      <c r="E63" s="58"/>
      <c r="F63" s="48"/>
    </row>
    <row r="64" spans="2:6">
      <c r="B64" s="62" t="s">
        <v>3293</v>
      </c>
      <c r="C64" s="41" t="s">
        <v>2987</v>
      </c>
      <c r="D64" s="64"/>
      <c r="E64" s="56"/>
      <c r="F64" s="48"/>
    </row>
    <row r="65" spans="2:6">
      <c r="B65" s="61" t="s">
        <v>3294</v>
      </c>
      <c r="C65" s="41" t="s">
        <v>2989</v>
      </c>
      <c r="D65" s="60"/>
      <c r="E65" s="65"/>
      <c r="F65" s="48"/>
    </row>
    <row r="66" spans="2:6">
      <c r="B66" s="62" t="s">
        <v>3291</v>
      </c>
      <c r="C66" s="41" t="s">
        <v>2991</v>
      </c>
      <c r="D66" s="64"/>
      <c r="E66" s="58"/>
      <c r="F66" s="48"/>
    </row>
    <row r="67" spans="2:6">
      <c r="B67" s="62" t="s">
        <v>3292</v>
      </c>
      <c r="C67" s="41" t="s">
        <v>2993</v>
      </c>
      <c r="D67" s="64"/>
      <c r="E67" s="58"/>
      <c r="F67" s="48"/>
    </row>
    <row r="68" spans="2:6">
      <c r="B68" s="62" t="s">
        <v>3293</v>
      </c>
      <c r="C68" s="41" t="s">
        <v>2995</v>
      </c>
      <c r="D68" s="64"/>
      <c r="E68" s="56"/>
      <c r="F68" s="46"/>
    </row>
    <row r="69" spans="2:6">
      <c r="B69" s="49" t="s">
        <v>3295</v>
      </c>
      <c r="C69" s="41" t="s">
        <v>2997</v>
      </c>
      <c r="D69" s="60"/>
      <c r="E69" s="60"/>
      <c r="F69" s="63"/>
    </row>
    <row r="70" spans="2:6">
      <c r="B70" s="61" t="s">
        <v>3296</v>
      </c>
      <c r="C70" s="41" t="s">
        <v>2999</v>
      </c>
      <c r="D70" s="60"/>
      <c r="E70" s="65"/>
      <c r="F70" s="48"/>
    </row>
    <row r="71" spans="2:6">
      <c r="B71" s="62" t="s">
        <v>3291</v>
      </c>
      <c r="C71" s="41" t="s">
        <v>3001</v>
      </c>
      <c r="D71" s="64"/>
      <c r="E71" s="58"/>
      <c r="F71" s="48"/>
    </row>
    <row r="72" spans="2:6">
      <c r="B72" s="62" t="s">
        <v>3292</v>
      </c>
      <c r="C72" s="41" t="s">
        <v>3003</v>
      </c>
      <c r="D72" s="64"/>
      <c r="E72" s="58"/>
      <c r="F72" s="48"/>
    </row>
    <row r="73" spans="2:6">
      <c r="B73" s="62" t="s">
        <v>3293</v>
      </c>
      <c r="C73" s="41" t="s">
        <v>3005</v>
      </c>
      <c r="D73" s="64"/>
      <c r="E73" s="56"/>
      <c r="F73" s="48"/>
    </row>
    <row r="74" spans="2:6">
      <c r="B74" s="61" t="s">
        <v>3297</v>
      </c>
      <c r="C74" s="41" t="s">
        <v>3007</v>
      </c>
      <c r="D74" s="60"/>
      <c r="E74" s="65"/>
      <c r="F74" s="48"/>
    </row>
    <row r="75" spans="2:6">
      <c r="B75" s="62" t="s">
        <v>3291</v>
      </c>
      <c r="C75" s="41" t="s">
        <v>3009</v>
      </c>
      <c r="D75" s="64"/>
      <c r="E75" s="58"/>
      <c r="F75" s="48"/>
    </row>
    <row r="76" spans="2:6">
      <c r="B76" s="62" t="s">
        <v>3292</v>
      </c>
      <c r="C76" s="41" t="s">
        <v>3011</v>
      </c>
      <c r="D76" s="64"/>
      <c r="E76" s="58"/>
      <c r="F76" s="48"/>
    </row>
    <row r="77" spans="2:6">
      <c r="B77" s="62" t="s">
        <v>3293</v>
      </c>
      <c r="C77" s="41" t="s">
        <v>3013</v>
      </c>
      <c r="D77" s="64"/>
      <c r="E77" s="56"/>
      <c r="F77" s="46"/>
    </row>
    <row r="78" spans="2:6">
      <c r="B78" s="49" t="s">
        <v>3298</v>
      </c>
      <c r="C78" s="41" t="s">
        <v>3015</v>
      </c>
      <c r="D78" s="60"/>
      <c r="E78" s="63"/>
      <c r="F78" s="63"/>
    </row>
    <row r="79" spans="2:6">
      <c r="B79" s="61" t="s">
        <v>3291</v>
      </c>
      <c r="C79" s="41" t="s">
        <v>3064</v>
      </c>
      <c r="D79" s="64"/>
      <c r="E79" s="58"/>
      <c r="F79" s="48"/>
    </row>
    <row r="80" spans="2:6">
      <c r="B80" s="61" t="s">
        <v>3292</v>
      </c>
      <c r="C80" s="41" t="s">
        <v>3066</v>
      </c>
      <c r="D80" s="64"/>
      <c r="E80" s="58"/>
      <c r="F80" s="48"/>
    </row>
    <row r="81" spans="2:6">
      <c r="B81" s="61" t="s">
        <v>3293</v>
      </c>
      <c r="C81" s="41" t="s">
        <v>3068</v>
      </c>
      <c r="D81" s="65"/>
      <c r="E81" s="56"/>
      <c r="F81" s="48"/>
    </row>
    <row r="82" spans="2:6">
      <c r="B82" s="49" t="s">
        <v>3299</v>
      </c>
      <c r="C82" s="44" t="s">
        <v>3070</v>
      </c>
      <c r="D82" s="46"/>
      <c r="E82" s="64"/>
      <c r="F82" s="46"/>
    </row>
    <row r="83" spans="2:6">
      <c r="B83" s="49" t="s">
        <v>2698</v>
      </c>
      <c r="C83" s="41" t="s">
        <v>3017</v>
      </c>
      <c r="D83" s="60"/>
      <c r="E83" s="60"/>
      <c r="F83" s="60"/>
    </row>
    <row r="84" spans="2:6">
      <c r="B84" s="49" t="s">
        <v>3300</v>
      </c>
      <c r="C84" s="41" t="s">
        <v>3019</v>
      </c>
      <c r="D84" s="60"/>
      <c r="E84" s="60"/>
      <c r="F84" s="60"/>
    </row>
    <row r="85" spans="2:6">
      <c r="B85" s="49" t="s">
        <v>3301</v>
      </c>
      <c r="C85" s="41" t="s">
        <v>3021</v>
      </c>
      <c r="D85" s="60"/>
      <c r="E85" s="60"/>
      <c r="F85" s="60"/>
    </row>
    <row r="86" spans="2:6">
      <c r="B86" s="49" t="s">
        <v>3302</v>
      </c>
      <c r="C86" s="41" t="s">
        <v>3023</v>
      </c>
      <c r="D86" s="60"/>
      <c r="E86" s="60"/>
      <c r="F86" s="60"/>
    </row>
    <row r="87" spans="2:6">
      <c r="B87" s="49" t="s">
        <v>3303</v>
      </c>
      <c r="C87" s="41" t="s">
        <v>3072</v>
      </c>
      <c r="D87" s="60"/>
      <c r="E87" s="60"/>
      <c r="F87" s="60"/>
    </row>
    <row r="88" spans="2:6">
      <c r="B88" s="49" t="s">
        <v>2481</v>
      </c>
      <c r="C88" s="41" t="s">
        <v>3118</v>
      </c>
      <c r="D88" s="60"/>
      <c r="E88" s="60"/>
      <c r="F88" s="60"/>
    </row>
    <row r="89" spans="2:6">
      <c r="B89" s="49" t="s">
        <v>3304</v>
      </c>
      <c r="C89" s="41" t="s">
        <v>3120</v>
      </c>
      <c r="D89" s="60"/>
      <c r="E89" s="63"/>
      <c r="F89" s="60"/>
    </row>
    <row r="90" spans="2:6">
      <c r="B90" s="61" t="s">
        <v>3329</v>
      </c>
      <c r="C90" s="41" t="s">
        <v>3330</v>
      </c>
      <c r="D90" s="64"/>
      <c r="E90" s="48"/>
      <c r="F90" s="60"/>
    </row>
    <row r="91" spans="2:6">
      <c r="B91" s="61" t="s">
        <v>3331</v>
      </c>
      <c r="C91" s="41" t="s">
        <v>3332</v>
      </c>
      <c r="D91" s="64"/>
      <c r="E91" s="48"/>
      <c r="F91" s="60"/>
    </row>
    <row r="92" spans="2:6">
      <c r="B92" s="61" t="s">
        <v>3333</v>
      </c>
      <c r="C92" s="41" t="s">
        <v>3334</v>
      </c>
      <c r="D92" s="64"/>
      <c r="E92" s="46"/>
      <c r="F92" s="60"/>
    </row>
    <row r="93" spans="2:6">
      <c r="B93" s="49" t="s">
        <v>3305</v>
      </c>
      <c r="C93" s="41" t="s">
        <v>3122</v>
      </c>
      <c r="D93" s="60"/>
      <c r="E93" s="63"/>
      <c r="F93" s="60"/>
    </row>
    <row r="94" spans="2:6">
      <c r="B94" s="61" t="s">
        <v>3335</v>
      </c>
      <c r="C94" s="41" t="s">
        <v>3336</v>
      </c>
      <c r="D94" s="64"/>
      <c r="E94" s="48"/>
      <c r="F94" s="60"/>
    </row>
    <row r="95" spans="2:6">
      <c r="B95" s="62" t="s">
        <v>3337</v>
      </c>
      <c r="C95" s="41" t="s">
        <v>3338</v>
      </c>
      <c r="D95" s="64"/>
      <c r="E95" s="48"/>
      <c r="F95" s="60"/>
    </row>
    <row r="96" spans="2:6">
      <c r="B96" s="62" t="s">
        <v>3339</v>
      </c>
      <c r="C96" s="41" t="s">
        <v>3340</v>
      </c>
      <c r="D96" s="64"/>
      <c r="E96" s="48"/>
      <c r="F96" s="60"/>
    </row>
    <row r="97" spans="2:12">
      <c r="B97" s="62" t="s">
        <v>3341</v>
      </c>
      <c r="C97" s="41" t="s">
        <v>3342</v>
      </c>
      <c r="D97" s="64"/>
      <c r="E97" s="48"/>
      <c r="F97" s="60"/>
    </row>
    <row r="98" spans="2:12">
      <c r="B98" s="61" t="s">
        <v>3343</v>
      </c>
      <c r="C98" s="41" t="s">
        <v>3344</v>
      </c>
      <c r="D98" s="64"/>
      <c r="E98" s="46"/>
      <c r="F98" s="60"/>
    </row>
    <row r="99" spans="2:12">
      <c r="B99" s="49" t="s">
        <v>3306</v>
      </c>
      <c r="C99" s="41" t="s">
        <v>3124</v>
      </c>
      <c r="D99" s="60"/>
      <c r="E99" s="60"/>
      <c r="F99" s="60"/>
    </row>
    <row r="100" spans="2:12">
      <c r="B100" s="49" t="s">
        <v>3307</v>
      </c>
      <c r="C100" s="41" t="s">
        <v>3126</v>
      </c>
      <c r="D100" s="60"/>
      <c r="E100" s="60"/>
      <c r="F100" s="60"/>
    </row>
    <row r="101" spans="2:12">
      <c r="B101" s="49" t="s">
        <v>3308</v>
      </c>
      <c r="C101" s="41" t="s">
        <v>3128</v>
      </c>
      <c r="D101" s="60"/>
      <c r="E101" s="60"/>
      <c r="F101" s="60"/>
    </row>
    <row r="102" spans="2:12">
      <c r="B102" s="49" t="s">
        <v>3312</v>
      </c>
      <c r="C102" s="41" t="s">
        <v>3136</v>
      </c>
      <c r="D102" s="60"/>
      <c r="E102" s="60"/>
      <c r="F102" s="60"/>
    </row>
    <row r="103" spans="2:12">
      <c r="B103" s="49" t="s">
        <v>3313</v>
      </c>
      <c r="C103" s="41" t="s">
        <v>3140</v>
      </c>
      <c r="D103" s="60"/>
      <c r="E103" s="60"/>
      <c r="F103" s="60"/>
    </row>
    <row r="104" spans="2:12">
      <c r="B104" s="47" t="s">
        <v>3314</v>
      </c>
      <c r="C104" s="41" t="s">
        <v>3315</v>
      </c>
      <c r="D104" s="60"/>
      <c r="E104" s="60"/>
      <c r="F104" s="60"/>
    </row>
    <row r="106" spans="2:12">
      <c r="K106" s="13" t="str">
        <f>Show!$B$34&amp;Show!$B$34&amp;"SE.02.01.18.01 Rows {"&amp;COLUMN($C$1)&amp;"}"</f>
        <v>!!SE.02.01.18.01 Rows {3}</v>
      </c>
      <c r="L106" s="13" t="str">
        <f>Show!$B$34&amp;Show!$B$34&amp;"SE.02.01.18.01 Columns {"&amp;COLUMN($F$1)&amp;"}"</f>
        <v>!!SE.02.01.18.01 Columns {6}</v>
      </c>
    </row>
  </sheetData>
  <sheetProtection sheet="1" objects="1" scenarios="1"/>
  <mergeCells count="6">
    <mergeCell ref="B2:O2"/>
    <mergeCell ref="B5:L5"/>
    <mergeCell ref="D9:F10"/>
    <mergeCell ref="D11:D14"/>
    <mergeCell ref="E11:E14"/>
    <mergeCell ref="F11:F14"/>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E75EB-F911-4357-AE6A-57807E88C161}">
  <sheetPr codeName="Blad39"/>
  <dimension ref="B2:O106"/>
  <sheetViews>
    <sheetView showGridLines="0" workbookViewId="0"/>
  </sheetViews>
  <sheetFormatPr defaultRowHeight="15"/>
  <cols>
    <col min="2" max="2" width="83.7109375" bestFit="1" customWidth="1"/>
    <col min="4" max="5" width="15.7109375" customWidth="1"/>
  </cols>
  <sheetData>
    <row r="2" spans="2:15" ht="23.25">
      <c r="B2" s="86" t="s">
        <v>557</v>
      </c>
      <c r="C2" s="87"/>
      <c r="D2" s="87"/>
      <c r="E2" s="87"/>
      <c r="F2" s="87"/>
      <c r="G2" s="87"/>
      <c r="H2" s="87"/>
      <c r="I2" s="87"/>
      <c r="J2" s="87"/>
      <c r="K2" s="87"/>
      <c r="L2" s="87"/>
      <c r="M2" s="87"/>
      <c r="N2" s="87"/>
      <c r="O2" s="87"/>
    </row>
    <row r="5" spans="2:15" ht="18.75">
      <c r="B5" s="88" t="s">
        <v>3347</v>
      </c>
      <c r="C5" s="87"/>
      <c r="D5" s="87"/>
      <c r="E5" s="87"/>
      <c r="F5" s="87"/>
      <c r="G5" s="87"/>
      <c r="H5" s="87"/>
      <c r="I5" s="87"/>
      <c r="J5" s="87"/>
      <c r="K5" s="87"/>
      <c r="L5" s="87"/>
    </row>
    <row r="9" spans="2:15">
      <c r="D9" s="92" t="s">
        <v>2877</v>
      </c>
      <c r="E9" s="94"/>
    </row>
    <row r="10" spans="2:15">
      <c r="D10" s="95"/>
      <c r="E10" s="97"/>
    </row>
    <row r="11" spans="2:15">
      <c r="D11" s="89" t="s">
        <v>3250</v>
      </c>
      <c r="E11" s="89" t="s">
        <v>3327</v>
      </c>
    </row>
    <row r="12" spans="2:15">
      <c r="D12" s="90"/>
      <c r="E12" s="90"/>
    </row>
    <row r="13" spans="2:15">
      <c r="D13" s="90"/>
      <c r="E13" s="90"/>
    </row>
    <row r="14" spans="2:15">
      <c r="D14" s="91"/>
      <c r="E14" s="91"/>
    </row>
    <row r="15" spans="2:15">
      <c r="D15" s="45" t="s">
        <v>2879</v>
      </c>
      <c r="E15" s="45" t="s">
        <v>3328</v>
      </c>
      <c r="J15" s="13" t="str">
        <f>Show!$B$35&amp;"SE.02.01.19.01 Rows {"&amp;COLUMN($C$1)&amp;"}"&amp;"@ForceFilingCode:true"</f>
        <v>!SE.02.01.19.01 Rows {3}@ForceFilingCode:true</v>
      </c>
      <c r="K15" s="13" t="str">
        <f>Show!$B$35&amp;"SE.02.01.19.01 Columns {"&amp;COLUMN($D$1)&amp;"}"</f>
        <v>!SE.02.01.19.01 Columns {4}</v>
      </c>
    </row>
    <row r="16" spans="2:15">
      <c r="B16" s="43" t="s">
        <v>2880</v>
      </c>
      <c r="C16" s="44" t="s">
        <v>2878</v>
      </c>
      <c r="D16" s="58"/>
      <c r="E16" s="59"/>
    </row>
    <row r="17" spans="2:5">
      <c r="B17" s="47" t="s">
        <v>3252</v>
      </c>
      <c r="C17" s="44" t="s">
        <v>2878</v>
      </c>
      <c r="D17" s="58"/>
      <c r="E17" s="59"/>
    </row>
    <row r="18" spans="2:5">
      <c r="B18" s="49" t="s">
        <v>3253</v>
      </c>
      <c r="C18" s="44" t="s">
        <v>2883</v>
      </c>
      <c r="D18" s="58"/>
      <c r="E18" s="48"/>
    </row>
    <row r="19" spans="2:5">
      <c r="B19" s="49" t="s">
        <v>3254</v>
      </c>
      <c r="C19" s="44" t="s">
        <v>2885</v>
      </c>
      <c r="D19" s="56"/>
      <c r="E19" s="46"/>
    </row>
    <row r="20" spans="2:5">
      <c r="B20" s="49" t="s">
        <v>3255</v>
      </c>
      <c r="C20" s="41" t="s">
        <v>2887</v>
      </c>
      <c r="D20" s="60"/>
      <c r="E20" s="60"/>
    </row>
    <row r="21" spans="2:5">
      <c r="B21" s="49" t="s">
        <v>3256</v>
      </c>
      <c r="C21" s="41" t="s">
        <v>2889</v>
      </c>
      <c r="D21" s="60"/>
      <c r="E21" s="60"/>
    </row>
    <row r="22" spans="2:5">
      <c r="B22" s="49" t="s">
        <v>3257</v>
      </c>
      <c r="C22" s="41" t="s">
        <v>3078</v>
      </c>
      <c r="D22" s="60"/>
      <c r="E22" s="60"/>
    </row>
    <row r="23" spans="2:5">
      <c r="B23" s="49" t="s">
        <v>3258</v>
      </c>
      <c r="C23" s="41" t="s">
        <v>2891</v>
      </c>
      <c r="D23" s="60"/>
      <c r="E23" s="60"/>
    </row>
    <row r="24" spans="2:5">
      <c r="B24" s="49" t="s">
        <v>3259</v>
      </c>
      <c r="C24" s="41" t="s">
        <v>2893</v>
      </c>
      <c r="D24" s="60"/>
      <c r="E24" s="60"/>
    </row>
    <row r="25" spans="2:5">
      <c r="B25" s="61" t="s">
        <v>3260</v>
      </c>
      <c r="C25" s="41" t="s">
        <v>2895</v>
      </c>
      <c r="D25" s="60"/>
      <c r="E25" s="60"/>
    </row>
    <row r="26" spans="2:5">
      <c r="B26" s="61" t="s">
        <v>3261</v>
      </c>
      <c r="C26" s="41" t="s">
        <v>2897</v>
      </c>
      <c r="D26" s="60"/>
      <c r="E26" s="60"/>
    </row>
    <row r="27" spans="2:5">
      <c r="B27" s="61" t="s">
        <v>2480</v>
      </c>
      <c r="C27" s="41" t="s">
        <v>2899</v>
      </c>
      <c r="D27" s="60"/>
      <c r="E27" s="60"/>
    </row>
    <row r="28" spans="2:5">
      <c r="B28" s="62" t="s">
        <v>3262</v>
      </c>
      <c r="C28" s="41" t="s">
        <v>2901</v>
      </c>
      <c r="D28" s="60"/>
      <c r="E28" s="60"/>
    </row>
    <row r="29" spans="2:5">
      <c r="B29" s="62" t="s">
        <v>3263</v>
      </c>
      <c r="C29" s="41" t="s">
        <v>2903</v>
      </c>
      <c r="D29" s="60"/>
      <c r="E29" s="60"/>
    </row>
    <row r="30" spans="2:5">
      <c r="B30" s="61" t="s">
        <v>3264</v>
      </c>
      <c r="C30" s="41" t="s">
        <v>2905</v>
      </c>
      <c r="D30" s="60"/>
      <c r="E30" s="60"/>
    </row>
    <row r="31" spans="2:5">
      <c r="B31" s="62" t="s">
        <v>2372</v>
      </c>
      <c r="C31" s="41" t="s">
        <v>2907</v>
      </c>
      <c r="D31" s="60"/>
      <c r="E31" s="60"/>
    </row>
    <row r="32" spans="2:5">
      <c r="B32" s="62" t="s">
        <v>2373</v>
      </c>
      <c r="C32" s="41" t="s">
        <v>2909</v>
      </c>
      <c r="D32" s="60"/>
      <c r="E32" s="60"/>
    </row>
    <row r="33" spans="2:5">
      <c r="B33" s="62" t="s">
        <v>2377</v>
      </c>
      <c r="C33" s="41" t="s">
        <v>2911</v>
      </c>
      <c r="D33" s="60"/>
      <c r="E33" s="60"/>
    </row>
    <row r="34" spans="2:5">
      <c r="B34" s="62" t="s">
        <v>2378</v>
      </c>
      <c r="C34" s="41" t="s">
        <v>2913</v>
      </c>
      <c r="D34" s="60"/>
      <c r="E34" s="60"/>
    </row>
    <row r="35" spans="2:5">
      <c r="B35" s="61" t="s">
        <v>3265</v>
      </c>
      <c r="C35" s="41" t="s">
        <v>2915</v>
      </c>
      <c r="D35" s="60"/>
      <c r="E35" s="60"/>
    </row>
    <row r="36" spans="2:5">
      <c r="B36" s="61" t="s">
        <v>2481</v>
      </c>
      <c r="C36" s="41" t="s">
        <v>2917</v>
      </c>
      <c r="D36" s="60"/>
      <c r="E36" s="60"/>
    </row>
    <row r="37" spans="2:5">
      <c r="B37" s="61" t="s">
        <v>3266</v>
      </c>
      <c r="C37" s="41" t="s">
        <v>2919</v>
      </c>
      <c r="D37" s="60"/>
      <c r="E37" s="60"/>
    </row>
    <row r="38" spans="2:5">
      <c r="B38" s="61" t="s">
        <v>2382</v>
      </c>
      <c r="C38" s="41" t="s">
        <v>2921</v>
      </c>
      <c r="D38" s="60"/>
      <c r="E38" s="60"/>
    </row>
    <row r="39" spans="2:5">
      <c r="B39" s="49" t="s">
        <v>3267</v>
      </c>
      <c r="C39" s="41" t="s">
        <v>2923</v>
      </c>
      <c r="D39" s="60"/>
      <c r="E39" s="60"/>
    </row>
    <row r="40" spans="2:5">
      <c r="B40" s="49" t="s">
        <v>3268</v>
      </c>
      <c r="C40" s="41" t="s">
        <v>2925</v>
      </c>
      <c r="D40" s="60"/>
      <c r="E40" s="60"/>
    </row>
    <row r="41" spans="2:5">
      <c r="B41" s="61" t="s">
        <v>3269</v>
      </c>
      <c r="C41" s="41" t="s">
        <v>2927</v>
      </c>
      <c r="D41" s="60"/>
      <c r="E41" s="60"/>
    </row>
    <row r="42" spans="2:5">
      <c r="B42" s="61" t="s">
        <v>3270</v>
      </c>
      <c r="C42" s="41" t="s">
        <v>2929</v>
      </c>
      <c r="D42" s="60"/>
      <c r="E42" s="60"/>
    </row>
    <row r="43" spans="2:5">
      <c r="B43" s="61" t="s">
        <v>3271</v>
      </c>
      <c r="C43" s="41" t="s">
        <v>2931</v>
      </c>
      <c r="D43" s="60"/>
      <c r="E43" s="60"/>
    </row>
    <row r="44" spans="2:5">
      <c r="B44" s="49" t="s">
        <v>3272</v>
      </c>
      <c r="C44" s="41" t="s">
        <v>2933</v>
      </c>
      <c r="D44" s="60"/>
      <c r="E44" s="63"/>
    </row>
    <row r="45" spans="2:5">
      <c r="B45" s="61" t="s">
        <v>3273</v>
      </c>
      <c r="C45" s="41" t="s">
        <v>2935</v>
      </c>
      <c r="D45" s="64"/>
      <c r="E45" s="48"/>
    </row>
    <row r="46" spans="2:5">
      <c r="B46" s="62" t="s">
        <v>3274</v>
      </c>
      <c r="C46" s="41" t="s">
        <v>2937</v>
      </c>
      <c r="D46" s="64"/>
      <c r="E46" s="48"/>
    </row>
    <row r="47" spans="2:5">
      <c r="B47" s="62" t="s">
        <v>3275</v>
      </c>
      <c r="C47" s="41" t="s">
        <v>2939</v>
      </c>
      <c r="D47" s="64"/>
      <c r="E47" s="48"/>
    </row>
    <row r="48" spans="2:5">
      <c r="B48" s="61" t="s">
        <v>3276</v>
      </c>
      <c r="C48" s="41" t="s">
        <v>2941</v>
      </c>
      <c r="D48" s="64"/>
      <c r="E48" s="48"/>
    </row>
    <row r="49" spans="2:5">
      <c r="B49" s="62" t="s">
        <v>3277</v>
      </c>
      <c r="C49" s="41" t="s">
        <v>2943</v>
      </c>
      <c r="D49" s="64"/>
      <c r="E49" s="48"/>
    </row>
    <row r="50" spans="2:5">
      <c r="B50" s="62" t="s">
        <v>3278</v>
      </c>
      <c r="C50" s="41" t="s">
        <v>2945</v>
      </c>
      <c r="D50" s="64"/>
      <c r="E50" s="48"/>
    </row>
    <row r="51" spans="2:5">
      <c r="B51" s="61" t="s">
        <v>3279</v>
      </c>
      <c r="C51" s="41" t="s">
        <v>2947</v>
      </c>
      <c r="D51" s="64"/>
      <c r="E51" s="46"/>
    </row>
    <row r="52" spans="2:5">
      <c r="B52" s="49" t="s">
        <v>3280</v>
      </c>
      <c r="C52" s="41" t="s">
        <v>2949</v>
      </c>
      <c r="D52" s="60"/>
      <c r="E52" s="60"/>
    </row>
    <row r="53" spans="2:5">
      <c r="B53" s="49" t="s">
        <v>3281</v>
      </c>
      <c r="C53" s="41" t="s">
        <v>2951</v>
      </c>
      <c r="D53" s="60"/>
      <c r="E53" s="60"/>
    </row>
    <row r="54" spans="2:5">
      <c r="B54" s="49" t="s">
        <v>3282</v>
      </c>
      <c r="C54" s="41" t="s">
        <v>2953</v>
      </c>
      <c r="D54" s="60"/>
      <c r="E54" s="60"/>
    </row>
    <row r="55" spans="2:5">
      <c r="B55" s="49" t="s">
        <v>3283</v>
      </c>
      <c r="C55" s="41" t="s">
        <v>2955</v>
      </c>
      <c r="D55" s="60"/>
      <c r="E55" s="60"/>
    </row>
    <row r="56" spans="2:5">
      <c r="B56" s="49" t="s">
        <v>3286</v>
      </c>
      <c r="C56" s="41" t="s">
        <v>2961</v>
      </c>
      <c r="D56" s="60"/>
      <c r="E56" s="60"/>
    </row>
    <row r="57" spans="2:5">
      <c r="B57" s="49" t="s">
        <v>3287</v>
      </c>
      <c r="C57" s="41" t="s">
        <v>2963</v>
      </c>
      <c r="D57" s="60"/>
      <c r="E57" s="60"/>
    </row>
    <row r="58" spans="2:5">
      <c r="B58" s="49" t="s">
        <v>3288</v>
      </c>
      <c r="C58" s="41" t="s">
        <v>2977</v>
      </c>
      <c r="D58" s="63"/>
      <c r="E58" s="63"/>
    </row>
    <row r="59" spans="2:5">
      <c r="B59" s="47" t="s">
        <v>2389</v>
      </c>
      <c r="C59" s="44" t="s">
        <v>2878</v>
      </c>
      <c r="D59" s="56"/>
      <c r="E59" s="57"/>
    </row>
    <row r="60" spans="2:5">
      <c r="B60" s="49" t="s">
        <v>3289</v>
      </c>
      <c r="C60" s="41" t="s">
        <v>2979</v>
      </c>
      <c r="D60" s="60"/>
      <c r="E60" s="63"/>
    </row>
    <row r="61" spans="2:5">
      <c r="B61" s="61" t="s">
        <v>3290</v>
      </c>
      <c r="C61" s="41" t="s">
        <v>2981</v>
      </c>
      <c r="D61" s="64"/>
      <c r="E61" s="48"/>
    </row>
    <row r="62" spans="2:5">
      <c r="B62" s="62" t="s">
        <v>3291</v>
      </c>
      <c r="C62" s="41" t="s">
        <v>2983</v>
      </c>
      <c r="D62" s="64"/>
      <c r="E62" s="48"/>
    </row>
    <row r="63" spans="2:5">
      <c r="B63" s="62" t="s">
        <v>3292</v>
      </c>
      <c r="C63" s="41" t="s">
        <v>2985</v>
      </c>
      <c r="D63" s="64"/>
      <c r="E63" s="48"/>
    </row>
    <row r="64" spans="2:5">
      <c r="B64" s="62" t="s">
        <v>3293</v>
      </c>
      <c r="C64" s="41" t="s">
        <v>2987</v>
      </c>
      <c r="D64" s="64"/>
      <c r="E64" s="48"/>
    </row>
    <row r="65" spans="2:5">
      <c r="B65" s="61" t="s">
        <v>3294</v>
      </c>
      <c r="C65" s="41" t="s">
        <v>2989</v>
      </c>
      <c r="D65" s="64"/>
      <c r="E65" s="48"/>
    </row>
    <row r="66" spans="2:5">
      <c r="B66" s="62" t="s">
        <v>3291</v>
      </c>
      <c r="C66" s="41" t="s">
        <v>2991</v>
      </c>
      <c r="D66" s="64"/>
      <c r="E66" s="48"/>
    </row>
    <row r="67" spans="2:5">
      <c r="B67" s="62" t="s">
        <v>3292</v>
      </c>
      <c r="C67" s="41" t="s">
        <v>2993</v>
      </c>
      <c r="D67" s="64"/>
      <c r="E67" s="48"/>
    </row>
    <row r="68" spans="2:5">
      <c r="B68" s="62" t="s">
        <v>3293</v>
      </c>
      <c r="C68" s="41" t="s">
        <v>2995</v>
      </c>
      <c r="D68" s="64"/>
      <c r="E68" s="46"/>
    </row>
    <row r="69" spans="2:5">
      <c r="B69" s="49" t="s">
        <v>3295</v>
      </c>
      <c r="C69" s="41" t="s">
        <v>2997</v>
      </c>
      <c r="D69" s="60"/>
      <c r="E69" s="63"/>
    </row>
    <row r="70" spans="2:5">
      <c r="B70" s="61" t="s">
        <v>3296</v>
      </c>
      <c r="C70" s="41" t="s">
        <v>2999</v>
      </c>
      <c r="D70" s="64"/>
      <c r="E70" s="48"/>
    </row>
    <row r="71" spans="2:5">
      <c r="B71" s="62" t="s">
        <v>3291</v>
      </c>
      <c r="C71" s="41" t="s">
        <v>3001</v>
      </c>
      <c r="D71" s="64"/>
      <c r="E71" s="48"/>
    </row>
    <row r="72" spans="2:5">
      <c r="B72" s="62" t="s">
        <v>3292</v>
      </c>
      <c r="C72" s="41" t="s">
        <v>3003</v>
      </c>
      <c r="D72" s="64"/>
      <c r="E72" s="48"/>
    </row>
    <row r="73" spans="2:5">
      <c r="B73" s="62" t="s">
        <v>3293</v>
      </c>
      <c r="C73" s="41" t="s">
        <v>3005</v>
      </c>
      <c r="D73" s="64"/>
      <c r="E73" s="48"/>
    </row>
    <row r="74" spans="2:5">
      <c r="B74" s="61" t="s">
        <v>3297</v>
      </c>
      <c r="C74" s="41" t="s">
        <v>3007</v>
      </c>
      <c r="D74" s="64"/>
      <c r="E74" s="48"/>
    </row>
    <row r="75" spans="2:5">
      <c r="B75" s="62" t="s">
        <v>3291</v>
      </c>
      <c r="C75" s="41" t="s">
        <v>3009</v>
      </c>
      <c r="D75" s="64"/>
      <c r="E75" s="48"/>
    </row>
    <row r="76" spans="2:5">
      <c r="B76" s="62" t="s">
        <v>3292</v>
      </c>
      <c r="C76" s="41" t="s">
        <v>3011</v>
      </c>
      <c r="D76" s="64"/>
      <c r="E76" s="48"/>
    </row>
    <row r="77" spans="2:5">
      <c r="B77" s="62" t="s">
        <v>3293</v>
      </c>
      <c r="C77" s="41" t="s">
        <v>3013</v>
      </c>
      <c r="D77" s="64"/>
      <c r="E77" s="46"/>
    </row>
    <row r="78" spans="2:5">
      <c r="B78" s="49" t="s">
        <v>3298</v>
      </c>
      <c r="C78" s="41" t="s">
        <v>3015</v>
      </c>
      <c r="D78" s="60"/>
      <c r="E78" s="63"/>
    </row>
    <row r="79" spans="2:5">
      <c r="B79" s="61" t="s">
        <v>3291</v>
      </c>
      <c r="C79" s="41" t="s">
        <v>3064</v>
      </c>
      <c r="D79" s="64"/>
      <c r="E79" s="48"/>
    </row>
    <row r="80" spans="2:5">
      <c r="B80" s="61" t="s">
        <v>3292</v>
      </c>
      <c r="C80" s="41" t="s">
        <v>3066</v>
      </c>
      <c r="D80" s="64"/>
      <c r="E80" s="48"/>
    </row>
    <row r="81" spans="2:5">
      <c r="B81" s="61" t="s">
        <v>3293</v>
      </c>
      <c r="C81" s="41" t="s">
        <v>3068</v>
      </c>
      <c r="D81" s="65"/>
      <c r="E81" s="48"/>
    </row>
    <row r="82" spans="2:5">
      <c r="B82" s="49" t="s">
        <v>3299</v>
      </c>
      <c r="C82" s="44" t="s">
        <v>3070</v>
      </c>
      <c r="D82" s="56"/>
      <c r="E82" s="46"/>
    </row>
    <row r="83" spans="2:5">
      <c r="B83" s="49" t="s">
        <v>2698</v>
      </c>
      <c r="C83" s="41" t="s">
        <v>3017</v>
      </c>
      <c r="D83" s="60"/>
      <c r="E83" s="60"/>
    </row>
    <row r="84" spans="2:5">
      <c r="B84" s="49" t="s">
        <v>3300</v>
      </c>
      <c r="C84" s="41" t="s">
        <v>3019</v>
      </c>
      <c r="D84" s="60"/>
      <c r="E84" s="60"/>
    </row>
    <row r="85" spans="2:5">
      <c r="B85" s="49" t="s">
        <v>3301</v>
      </c>
      <c r="C85" s="41" t="s">
        <v>3021</v>
      </c>
      <c r="D85" s="60"/>
      <c r="E85" s="60"/>
    </row>
    <row r="86" spans="2:5">
      <c r="B86" s="49" t="s">
        <v>3302</v>
      </c>
      <c r="C86" s="41" t="s">
        <v>3023</v>
      </c>
      <c r="D86" s="60"/>
      <c r="E86" s="60"/>
    </row>
    <row r="87" spans="2:5">
      <c r="B87" s="49" t="s">
        <v>3303</v>
      </c>
      <c r="C87" s="41" t="s">
        <v>3072</v>
      </c>
      <c r="D87" s="60"/>
      <c r="E87" s="60"/>
    </row>
    <row r="88" spans="2:5">
      <c r="B88" s="49" t="s">
        <v>2481</v>
      </c>
      <c r="C88" s="41" t="s">
        <v>3118</v>
      </c>
      <c r="D88" s="60"/>
      <c r="E88" s="60"/>
    </row>
    <row r="89" spans="2:5">
      <c r="B89" s="49" t="s">
        <v>3304</v>
      </c>
      <c r="C89" s="41" t="s">
        <v>3120</v>
      </c>
      <c r="D89" s="60"/>
      <c r="E89" s="60"/>
    </row>
    <row r="90" spans="2:5">
      <c r="B90" s="61" t="s">
        <v>3329</v>
      </c>
      <c r="C90" s="41" t="s">
        <v>3330</v>
      </c>
      <c r="D90" s="60"/>
      <c r="E90" s="60"/>
    </row>
    <row r="91" spans="2:5">
      <c r="B91" s="61" t="s">
        <v>3331</v>
      </c>
      <c r="C91" s="41" t="s">
        <v>3332</v>
      </c>
      <c r="D91" s="60"/>
      <c r="E91" s="60"/>
    </row>
    <row r="92" spans="2:5">
      <c r="B92" s="61" t="s">
        <v>3333</v>
      </c>
      <c r="C92" s="41" t="s">
        <v>3334</v>
      </c>
      <c r="D92" s="60"/>
      <c r="E92" s="60"/>
    </row>
    <row r="93" spans="2:5">
      <c r="B93" s="49" t="s">
        <v>3305</v>
      </c>
      <c r="C93" s="41" t="s">
        <v>3122</v>
      </c>
      <c r="D93" s="60"/>
      <c r="E93" s="60"/>
    </row>
    <row r="94" spans="2:5">
      <c r="B94" s="61" t="s">
        <v>3335</v>
      </c>
      <c r="C94" s="41" t="s">
        <v>3336</v>
      </c>
      <c r="D94" s="60"/>
      <c r="E94" s="60"/>
    </row>
    <row r="95" spans="2:5">
      <c r="B95" s="62" t="s">
        <v>3337</v>
      </c>
      <c r="C95" s="41" t="s">
        <v>3338</v>
      </c>
      <c r="D95" s="60"/>
      <c r="E95" s="60"/>
    </row>
    <row r="96" spans="2:5">
      <c r="B96" s="62" t="s">
        <v>3339</v>
      </c>
      <c r="C96" s="41" t="s">
        <v>3340</v>
      </c>
      <c r="D96" s="60"/>
      <c r="E96" s="60"/>
    </row>
    <row r="97" spans="2:11">
      <c r="B97" s="62" t="s">
        <v>3341</v>
      </c>
      <c r="C97" s="41" t="s">
        <v>3342</v>
      </c>
      <c r="D97" s="60"/>
      <c r="E97" s="60"/>
    </row>
    <row r="98" spans="2:11">
      <c r="B98" s="61" t="s">
        <v>3343</v>
      </c>
      <c r="C98" s="41" t="s">
        <v>3344</v>
      </c>
      <c r="D98" s="60"/>
      <c r="E98" s="60"/>
    </row>
    <row r="99" spans="2:11">
      <c r="B99" s="49" t="s">
        <v>3306</v>
      </c>
      <c r="C99" s="41" t="s">
        <v>3124</v>
      </c>
      <c r="D99" s="60"/>
      <c r="E99" s="60"/>
    </row>
    <row r="100" spans="2:11">
      <c r="B100" s="49" t="s">
        <v>3307</v>
      </c>
      <c r="C100" s="41" t="s">
        <v>3126</v>
      </c>
      <c r="D100" s="60"/>
      <c r="E100" s="60"/>
    </row>
    <row r="101" spans="2:11">
      <c r="B101" s="49" t="s">
        <v>3308</v>
      </c>
      <c r="C101" s="41" t="s">
        <v>3128</v>
      </c>
      <c r="D101" s="60"/>
      <c r="E101" s="60"/>
    </row>
    <row r="102" spans="2:11">
      <c r="B102" s="49" t="s">
        <v>3312</v>
      </c>
      <c r="C102" s="41" t="s">
        <v>3136</v>
      </c>
      <c r="D102" s="60"/>
      <c r="E102" s="60"/>
    </row>
    <row r="103" spans="2:11">
      <c r="B103" s="49" t="s">
        <v>3313</v>
      </c>
      <c r="C103" s="41" t="s">
        <v>3140</v>
      </c>
      <c r="D103" s="60"/>
      <c r="E103" s="60"/>
    </row>
    <row r="104" spans="2:11">
      <c r="B104" s="47" t="s">
        <v>3314</v>
      </c>
      <c r="C104" s="41" t="s">
        <v>3315</v>
      </c>
      <c r="D104" s="60"/>
      <c r="E104" s="60"/>
    </row>
    <row r="106" spans="2:11">
      <c r="J106" s="13" t="str">
        <f>Show!$B$35&amp;Show!$B$35&amp;"SE.02.01.19.01 Rows {"&amp;COLUMN($C$1)&amp;"}"</f>
        <v>!!SE.02.01.19.01 Rows {3}</v>
      </c>
      <c r="K106" s="13" t="str">
        <f>Show!$B$35&amp;Show!$B$35&amp;"SE.02.01.19.01 Columns {"&amp;COLUMN($E$1)&amp;"}"</f>
        <v>!!SE.02.01.19.01 Columns {5}</v>
      </c>
    </row>
  </sheetData>
  <sheetProtection sheet="1" objects="1" scenarios="1"/>
  <mergeCells count="5">
    <mergeCell ref="B2:O2"/>
    <mergeCell ref="B5:L5"/>
    <mergeCell ref="D9:E10"/>
    <mergeCell ref="D11:D14"/>
    <mergeCell ref="E11:E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9E0BE-3B95-48F2-99FA-271E9F9D02B5}">
  <sheetPr codeName="Blad2"/>
  <dimension ref="A1:U1618"/>
  <sheetViews>
    <sheetView topLeftCell="A832" workbookViewId="0">
      <selection activeCell="C868" sqref="C868"/>
    </sheetView>
  </sheetViews>
  <sheetFormatPr defaultRowHeight="15"/>
  <cols>
    <col min="1" max="1" width="50.140625" customWidth="1"/>
  </cols>
  <sheetData>
    <row r="1" spans="1:21">
      <c r="A1" t="s">
        <v>508</v>
      </c>
      <c r="B1" t="s">
        <v>509</v>
      </c>
      <c r="C1" t="s">
        <v>29</v>
      </c>
      <c r="D1" t="s">
        <v>473</v>
      </c>
      <c r="E1" t="s">
        <v>475</v>
      </c>
      <c r="F1" t="s">
        <v>477</v>
      </c>
      <c r="G1" t="s">
        <v>479</v>
      </c>
      <c r="H1" t="s">
        <v>481</v>
      </c>
      <c r="I1" t="s">
        <v>483</v>
      </c>
      <c r="J1" t="s">
        <v>485</v>
      </c>
      <c r="K1" t="s">
        <v>487</v>
      </c>
      <c r="L1" t="s">
        <v>489</v>
      </c>
      <c r="M1" t="s">
        <v>491</v>
      </c>
      <c r="N1" t="s">
        <v>493</v>
      </c>
      <c r="O1" t="s">
        <v>495</v>
      </c>
      <c r="P1" t="s">
        <v>497</v>
      </c>
      <c r="Q1" t="s">
        <v>499</v>
      </c>
      <c r="R1" t="s">
        <v>501</v>
      </c>
      <c r="S1" t="s">
        <v>503</v>
      </c>
      <c r="T1" t="s">
        <v>505</v>
      </c>
      <c r="U1" t="s">
        <v>507</v>
      </c>
    </row>
    <row r="2" spans="1:21">
      <c r="A2" s="34" t="s">
        <v>510</v>
      </c>
      <c r="B2" t="str">
        <f>IF(HLOOKUP('General data'!$E$22,$C$1:$U$2,2,FALSE)="X","/","!")</f>
        <v>!</v>
      </c>
      <c r="C2" t="s">
        <v>511</v>
      </c>
    </row>
    <row r="3" spans="1:21">
      <c r="A3" s="34" t="s">
        <v>513</v>
      </c>
      <c r="B3" t="str">
        <f>IF(HLOOKUP('General data'!$E$22,$C$1:$U$3,3,FALSE)="X","/","!")</f>
        <v>!</v>
      </c>
      <c r="D3" t="s">
        <v>511</v>
      </c>
    </row>
    <row r="4" spans="1:21">
      <c r="A4" s="34" t="s">
        <v>514</v>
      </c>
      <c r="B4" t="str">
        <f>IF(HLOOKUP('General data'!$E$22,$C$1:$U$4,4,FALSE)="X","/","!")</f>
        <v>!</v>
      </c>
      <c r="E4" t="s">
        <v>511</v>
      </c>
    </row>
    <row r="5" spans="1:21">
      <c r="A5" s="34" t="s">
        <v>515</v>
      </c>
      <c r="B5" t="str">
        <f>IF(HLOOKUP('General data'!$E$22,$C$1:$U$5,5,FALSE)="X","/","!")</f>
        <v>!</v>
      </c>
      <c r="F5" t="s">
        <v>511</v>
      </c>
    </row>
    <row r="6" spans="1:21">
      <c r="A6" s="34" t="s">
        <v>516</v>
      </c>
      <c r="B6" t="str">
        <f>IF(HLOOKUP('General data'!$E$22,$C$1:$U$6,6,FALSE)="X","/","!")</f>
        <v>!</v>
      </c>
      <c r="G6" t="s">
        <v>511</v>
      </c>
    </row>
    <row r="7" spans="1:21">
      <c r="A7" s="34" t="s">
        <v>517</v>
      </c>
      <c r="B7" t="str">
        <f>IF(HLOOKUP('General data'!$E$22,$C$1:$U$7,7,FALSE)="X","/","!")</f>
        <v>!</v>
      </c>
      <c r="H7" t="s">
        <v>511</v>
      </c>
    </row>
    <row r="8" spans="1:21">
      <c r="A8" s="34" t="s">
        <v>518</v>
      </c>
      <c r="B8" t="str">
        <f>IF(HLOOKUP('General data'!$E$22,$C$1:$U$8,8,FALSE)="X","/","!")</f>
        <v>!</v>
      </c>
      <c r="I8" t="s">
        <v>511</v>
      </c>
    </row>
    <row r="9" spans="1:21">
      <c r="A9" s="34" t="s">
        <v>519</v>
      </c>
      <c r="B9" t="str">
        <f>IF(HLOOKUP('General data'!$E$22,$C$1:$U$9,9,FALSE)="X","/","!")</f>
        <v>!</v>
      </c>
      <c r="J9" t="s">
        <v>511</v>
      </c>
    </row>
    <row r="10" spans="1:21">
      <c r="A10" s="34" t="s">
        <v>520</v>
      </c>
      <c r="B10" t="str">
        <f>IF(HLOOKUP('General data'!$E$22,$C$1:$U$10,10,FALSE)="X","/","!")</f>
        <v>!</v>
      </c>
      <c r="K10" t="s">
        <v>511</v>
      </c>
    </row>
    <row r="11" spans="1:21">
      <c r="A11" s="34" t="s">
        <v>521</v>
      </c>
      <c r="B11" t="str">
        <f>IF(HLOOKUP('General data'!$E$22,$C$1:$U$11,11,FALSE)="X","/","!")</f>
        <v>!</v>
      </c>
      <c r="L11" t="s">
        <v>511</v>
      </c>
    </row>
    <row r="12" spans="1:21">
      <c r="A12" s="34" t="s">
        <v>522</v>
      </c>
      <c r="B12" t="str">
        <f>IF(HLOOKUP('General data'!$E$22,$C$1:$U$12,12,FALSE)="X","/","!")</f>
        <v>!</v>
      </c>
      <c r="M12" t="s">
        <v>511</v>
      </c>
    </row>
    <row r="13" spans="1:21">
      <c r="A13" s="34" t="s">
        <v>523</v>
      </c>
      <c r="B13" t="str">
        <f>IF(HLOOKUP('General data'!$E$22,$C$1:$U$13,13,FALSE)="X","/","!")</f>
        <v>!</v>
      </c>
      <c r="N13" t="s">
        <v>511</v>
      </c>
    </row>
    <row r="14" spans="1:21">
      <c r="A14" s="34" t="s">
        <v>524</v>
      </c>
      <c r="B14" t="str">
        <f>IF(HLOOKUP('General data'!$E$22,$C$1:$U$14,14,FALSE)="X","/","!")</f>
        <v>!</v>
      </c>
      <c r="C14" t="s">
        <v>511</v>
      </c>
      <c r="O14" t="s">
        <v>511</v>
      </c>
    </row>
    <row r="15" spans="1:21">
      <c r="A15" s="34" t="s">
        <v>525</v>
      </c>
      <c r="B15" t="str">
        <f>IF(HLOOKUP('General data'!$E$22,$C$1:$U$15,15,FALSE)="X","/","!")</f>
        <v>!</v>
      </c>
      <c r="E15" t="s">
        <v>511</v>
      </c>
    </row>
    <row r="16" spans="1:21">
      <c r="A16" s="34" t="s">
        <v>526</v>
      </c>
      <c r="B16" t="str">
        <f>IF(HLOOKUP('General data'!$E$22,$C$1:$U$16,16,FALSE)="X","/","!")</f>
        <v>!</v>
      </c>
      <c r="G16" t="s">
        <v>511</v>
      </c>
      <c r="Q16" t="s">
        <v>511</v>
      </c>
    </row>
    <row r="17" spans="1:21">
      <c r="A17" s="34" t="s">
        <v>527</v>
      </c>
      <c r="B17" t="str">
        <f>IF(HLOOKUP('General data'!$E$22,$C$1:$U$17,17,FALSE)="X","/","!")</f>
        <v>!</v>
      </c>
      <c r="O17" t="s">
        <v>511</v>
      </c>
    </row>
    <row r="18" spans="1:21">
      <c r="A18" s="34" t="s">
        <v>529</v>
      </c>
      <c r="B18" t="str">
        <f>IF(HLOOKUP('General data'!$E$22,$C$1:$U$18,18,FALSE)="X","/","!")</f>
        <v>!</v>
      </c>
      <c r="P18" t="s">
        <v>511</v>
      </c>
    </row>
    <row r="19" spans="1:21">
      <c r="A19" s="34" t="s">
        <v>531</v>
      </c>
      <c r="B19" t="str">
        <f>IF(HLOOKUP('General data'!$E$22,$C$1:$U$19,19,FALSE)="X","/","!")</f>
        <v>!</v>
      </c>
      <c r="Q19" t="s">
        <v>511</v>
      </c>
    </row>
    <row r="20" spans="1:21">
      <c r="A20" s="34" t="s">
        <v>533</v>
      </c>
      <c r="B20" t="str">
        <f>IF(HLOOKUP('General data'!$E$22,$C$1:$U$20,20,FALSE)="X","/","!")</f>
        <v>!</v>
      </c>
      <c r="R20" t="s">
        <v>511</v>
      </c>
    </row>
    <row r="21" spans="1:21">
      <c r="A21" s="34" t="s">
        <v>535</v>
      </c>
      <c r="B21" t="str">
        <f>IF(AND(HLOOKUP('General data'!$E$22,$C$1:$V$21,21,FALSE)="X",OR(LEFT('S.01.01.02'!$D$16,8)="Reported",LEFT('S.01.01.01'!$D$16,8)="Reported",LEFT('S.01.01.10'!$D$16,8)="Reported",LEFT('S.01.01.11'!$D$16,8)="Reported",LEFT('SE.01.01.16'!$D$16,8)="Reported",LEFT('SE.01.01.17'!$D$16,8)="Reported")),"/","!")</f>
        <v>!</v>
      </c>
      <c r="C21" t="s">
        <v>511</v>
      </c>
      <c r="D21" t="s">
        <v>511</v>
      </c>
      <c r="I21" t="s">
        <v>511</v>
      </c>
      <c r="J21" t="s">
        <v>511</v>
      </c>
      <c r="O21" t="s">
        <v>511</v>
      </c>
      <c r="P21" t="s">
        <v>511</v>
      </c>
    </row>
    <row r="22" spans="1:21">
      <c r="A22" s="34" t="s">
        <v>537</v>
      </c>
      <c r="B22" t="str">
        <f>IF(AND(HLOOKUP('General data'!$E$22,$C$1:$V$22,22,FALSE)="X",OR(LEFT('S.01.01.05'!$D$16,8)="Reported",LEFT('S.01.01.04'!$D$16,8)="Reported",LEFT('S.01.01.12'!$D$16,8)="Reported",LEFT('S.01.01.13'!$D$16,8)="Reported")),"/","!")</f>
        <v>!</v>
      </c>
      <c r="E22" t="s">
        <v>511</v>
      </c>
      <c r="F22" t="s">
        <v>511</v>
      </c>
      <c r="K22" t="s">
        <v>511</v>
      </c>
      <c r="L22" t="s">
        <v>511</v>
      </c>
    </row>
    <row r="23" spans="1:21">
      <c r="A23" s="34" t="s">
        <v>538</v>
      </c>
      <c r="B23" t="str">
        <f>IF(AND(HLOOKUP('General data'!$E$22,$C$1:$V$23,23,FALSE)="X",OR(LEFT('S.01.01.08'!$D$16,8)="Reported",LEFT('S.01.01.07'!$D$16,8)="Reported",LEFT('S.01.01.14'!$D$16,8)="Reported",LEFT('S.01.01.15'!$D$16,8)="Reported",LEFT('SE.01.01.18'!$D$16,8)="Reported",LEFT('SE.01.01.19'!$D$16,8)="Reported")),"/","!")</f>
        <v>!</v>
      </c>
      <c r="G23" t="s">
        <v>511</v>
      </c>
      <c r="H23" t="s">
        <v>511</v>
      </c>
      <c r="M23" t="s">
        <v>511</v>
      </c>
      <c r="N23" t="s">
        <v>511</v>
      </c>
      <c r="Q23" t="s">
        <v>511</v>
      </c>
      <c r="R23" t="s">
        <v>511</v>
      </c>
    </row>
    <row r="24" spans="1:21">
      <c r="A24" s="34" t="s">
        <v>540</v>
      </c>
      <c r="B24" t="str">
        <f>IF(AND(HLOOKUP('General data'!$E$22,$C$1:$V$24,24,FALSE)="X",OR(LEFT('S.01.01.07'!$D$17,8)="Reported",LEFT('S.01.01.01'!$D$17,8)="Reported",LEFT('SE.01.01.16'!$D$17,8)="Reported",LEFT('SE.01.01.18'!$D$17,8)="Reported")),"/","!")</f>
        <v>!</v>
      </c>
      <c r="C24" t="s">
        <v>511</v>
      </c>
      <c r="G24" t="s">
        <v>511</v>
      </c>
      <c r="O24" t="s">
        <v>511</v>
      </c>
      <c r="Q24" t="s">
        <v>511</v>
      </c>
    </row>
    <row r="25" spans="1:21">
      <c r="A25" s="34" t="s">
        <v>542</v>
      </c>
      <c r="B25" t="str">
        <f>IF(AND(HLOOKUP('General data'!$E$22,$C$1:$V$25,25,FALSE)="X",LEFT('S.01.01.04'!$D$17,8)="Reported"),"/","!")</f>
        <v>!</v>
      </c>
      <c r="E25" t="s">
        <v>511</v>
      </c>
    </row>
    <row r="26" spans="1:21">
      <c r="A26" s="34" t="s">
        <v>543</v>
      </c>
      <c r="B26" t="str">
        <f>IF(AND(HLOOKUP('General data'!$E$22,$C$1:$V$26,26,FALSE)="X",OR(LEFT('S.01.01.04'!$D$18,8)="Reported",LEFT('S.01.01.01'!$D$18,8)="Reported")),"/","!")</f>
        <v>!</v>
      </c>
      <c r="C26" t="s">
        <v>511</v>
      </c>
      <c r="E26" t="s">
        <v>511</v>
      </c>
    </row>
    <row r="27" spans="1:21">
      <c r="A27" s="34" t="s">
        <v>545</v>
      </c>
      <c r="B27" t="str">
        <f>IF(AND(HLOOKUP('General data'!$E$22,$C$1:$V$27,27,FALSE)="X",OR(LEFT('S.01.01.05'!$D$17,8)="Reported",LEFT('S.01.01.02'!$D$17,8)="Reported",LEFT('S.01.01.13'!$D$17,8)="Reported")),"/","!")</f>
        <v>!</v>
      </c>
      <c r="D27" t="s">
        <v>511</v>
      </c>
      <c r="F27" t="s">
        <v>511</v>
      </c>
      <c r="L27" t="s">
        <v>511</v>
      </c>
      <c r="T27" t="s">
        <v>511</v>
      </c>
      <c r="U27" t="s">
        <v>511</v>
      </c>
    </row>
    <row r="28" spans="1:21">
      <c r="A28" s="34" t="s">
        <v>546</v>
      </c>
      <c r="B28" t="str">
        <f>IF(AND(HLOOKUP('General data'!$E$22,$C$1:$V$28,28,FALSE)="X",LEFT('S.01.01.07'!$D$18,8)="Reported"),"/","!")</f>
        <v>!</v>
      </c>
      <c r="G28" t="s">
        <v>511</v>
      </c>
    </row>
    <row r="29" spans="1:21">
      <c r="A29" s="34" t="s">
        <v>547</v>
      </c>
      <c r="B29" t="str">
        <f>IF(AND(HLOOKUP('General data'!$E$22,$C$1:$V$29,29,FALSE)="X",LEFT('S.01.01.08'!$D$17,8)="Reported"),"/","!")</f>
        <v>!</v>
      </c>
      <c r="H29" t="s">
        <v>511</v>
      </c>
    </row>
    <row r="30" spans="1:21">
      <c r="A30" s="34" t="s">
        <v>548</v>
      </c>
      <c r="B30" t="str">
        <f>IF(AND(HLOOKUP('General data'!$E$22,$C$1:$V$30,30,FALSE)="X",OR(LEFT('SR.01.01.04'!$D$20,8)="Reported",LEFT('SR.01.01.01'!$D$20,8)="Reported")),"/","!")</f>
        <v>!</v>
      </c>
      <c r="C30" t="s">
        <v>511</v>
      </c>
      <c r="E30" t="s">
        <v>511</v>
      </c>
      <c r="O30" t="s">
        <v>511</v>
      </c>
    </row>
    <row r="31" spans="1:21">
      <c r="A31" s="34" t="s">
        <v>549</v>
      </c>
      <c r="B31" t="str">
        <f>IF(AND(HLOOKUP('General data'!$E$22,$C$1:$V$31,31,FALSE)="X",LEFT('SR.01.01.07'!$D$20,8)="Reported"),"/","!")</f>
        <v>!</v>
      </c>
      <c r="G31" t="s">
        <v>511</v>
      </c>
      <c r="Q31" t="s">
        <v>511</v>
      </c>
    </row>
    <row r="32" spans="1:21">
      <c r="A32" s="34" t="s">
        <v>550</v>
      </c>
      <c r="B32" t="str">
        <f>IF(AND(HLOOKUP('General data'!$E$22,$C$1:$V$32,32,FALSE)="X",LEFT('SE.01.01.16'!$D$18,8)="Reported"),"/","!")</f>
        <v>!</v>
      </c>
      <c r="O32" t="s">
        <v>511</v>
      </c>
    </row>
    <row r="33" spans="1:21">
      <c r="A33" s="34" t="s">
        <v>552</v>
      </c>
      <c r="B33" t="str">
        <f>IF(AND(HLOOKUP('General data'!$E$22,$C$1:$V$33,33,FALSE)="X",LEFT('SE.01.01.17'!$D$17,8)="Reported"),"/","!")</f>
        <v>!</v>
      </c>
      <c r="P33" t="s">
        <v>511</v>
      </c>
    </row>
    <row r="34" spans="1:21">
      <c r="A34" s="34" t="s">
        <v>554</v>
      </c>
      <c r="B34" t="str">
        <f>IF(AND(HLOOKUP('General data'!$E$22,$C$1:$V$34,34,FALSE)="X",LEFT('SE.01.01.18'!$D$18,8)="Reported"),"/","!")</f>
        <v>!</v>
      </c>
      <c r="Q34" t="s">
        <v>511</v>
      </c>
    </row>
    <row r="35" spans="1:21">
      <c r="A35" s="34" t="s">
        <v>556</v>
      </c>
      <c r="B35" t="str">
        <f>IF(AND(HLOOKUP('General data'!$E$22,$C$1:$V$35,35,FALSE)="X",LEFT('SE.01.01.19'!$D$17,8)="Reported"),"/","!")</f>
        <v>!</v>
      </c>
      <c r="R35" t="s">
        <v>511</v>
      </c>
    </row>
    <row r="36" spans="1:21">
      <c r="A36" s="34" t="s">
        <v>558</v>
      </c>
      <c r="B36" t="str">
        <f>IF(AND(HLOOKUP('General data'!$E$22,$C$1:$V$36,36,FALSE)="X",OR(LEFT('S.01.01.04'!$D$19,8)="Reported",LEFT('S.01.01.01'!$D$19,8)="Reported",LEFT('S.01.01.07'!$D$19,8)="Reported",LEFT('SE.01.01.16'!$D$19,8)="Reported",LEFT('SE.01.01.18'!$D$19,8)="Reported")),"/","!")</f>
        <v>!</v>
      </c>
      <c r="C36" t="s">
        <v>511</v>
      </c>
      <c r="E36" t="s">
        <v>511</v>
      </c>
      <c r="G36" t="s">
        <v>511</v>
      </c>
      <c r="O36" t="s">
        <v>511</v>
      </c>
      <c r="Q36" t="s">
        <v>511</v>
      </c>
    </row>
    <row r="37" spans="1:21">
      <c r="A37" s="34" t="s">
        <v>560</v>
      </c>
      <c r="B37" t="str">
        <f>IF(AND(HLOOKUP('General data'!$E$22,$C$1:$V$37,37,FALSE)="X",OR(LEFT('SE.01.01.18'!$D$20,8)="Reported",LEFT('S.01.01.07'!$D$20,8)="Reported")),"/","!")</f>
        <v>!</v>
      </c>
      <c r="G37" t="s">
        <v>511</v>
      </c>
      <c r="Q37" t="s">
        <v>511</v>
      </c>
    </row>
    <row r="38" spans="1:21">
      <c r="A38" s="34" t="s">
        <v>562</v>
      </c>
      <c r="B38" t="str">
        <f>IF(AND(HLOOKUP('General data'!$E$22,$C$1:$V$38,38,FALSE)="X",OR(LEFT('S.01.01.07'!$D$21,8)="Reported",LEFT('S.01.01.01'!$D$20,8)="Reported",LEFT('SE.01.01.16'!$D$20,8)="Reported",LEFT('SE.01.01.18'!$D$21,8)="Reported")),"/","!")</f>
        <v>!</v>
      </c>
      <c r="C38" t="s">
        <v>511</v>
      </c>
      <c r="G38" t="s">
        <v>511</v>
      </c>
      <c r="O38" t="s">
        <v>511</v>
      </c>
      <c r="Q38" t="s">
        <v>511</v>
      </c>
    </row>
    <row r="39" spans="1:21">
      <c r="A39" s="34" t="s">
        <v>564</v>
      </c>
      <c r="B39" t="str">
        <f>IF(AND(HLOOKUP('General data'!$E$22,$C$1:$V$39,39,FALSE)="X",LEFT('S.01.01.04'!$D$20,8)="Reported"),"/","!")</f>
        <v>!</v>
      </c>
      <c r="E39" t="s">
        <v>511</v>
      </c>
    </row>
    <row r="40" spans="1:21">
      <c r="A40" s="34" t="s">
        <v>565</v>
      </c>
      <c r="B40" t="str">
        <f>IF(AND(HLOOKUP('General data'!$E$22,$C$1:$V$40,40,FALSE)="X",OR(LEFT('S.01.01.07'!$D$22,8)="Reported",LEFT('S.01.01.01'!$D$21,8)="Reported",LEFT('SE.01.01.16'!$D$21,8)="Reported",LEFT('SE.01.01.18'!$D$22,8)="Reported")),"/","!")</f>
        <v>!</v>
      </c>
      <c r="C40" t="s">
        <v>511</v>
      </c>
      <c r="G40" t="s">
        <v>511</v>
      </c>
      <c r="O40" t="s">
        <v>511</v>
      </c>
      <c r="Q40" t="s">
        <v>511</v>
      </c>
    </row>
    <row r="41" spans="1:21">
      <c r="A41" s="34" t="s">
        <v>567</v>
      </c>
      <c r="B41" t="str">
        <f>IF(AND(HLOOKUP('General data'!$E$22,$C$1:$V$41,41,FALSE)="X",LEFT('S.01.01.04'!$D$21,8)="Reported"),"/","!")</f>
        <v>!</v>
      </c>
      <c r="E41" t="s">
        <v>511</v>
      </c>
    </row>
    <row r="42" spans="1:21">
      <c r="A42" s="34" t="s">
        <v>569</v>
      </c>
      <c r="B42" t="str">
        <f>IF(AND(HLOOKUP('General data'!$E$22,$C$1:$V$42,42,FALSE)="X",OR(LEFT('S.01.01.07'!$D$23,8)="Reported",LEFT('S.01.01.01'!$D$22,8)="Reported",LEFT('SE.01.01.16'!$D$22,8)="Reported",LEFT('SE.01.01.18'!$D$23,8)="Reported")),"/","!")</f>
        <v>!</v>
      </c>
      <c r="C42" t="s">
        <v>511</v>
      </c>
      <c r="G42" t="s">
        <v>511</v>
      </c>
      <c r="O42" t="s">
        <v>511</v>
      </c>
      <c r="Q42" t="s">
        <v>511</v>
      </c>
    </row>
    <row r="43" spans="1:21">
      <c r="A43" s="34" t="s">
        <v>571</v>
      </c>
      <c r="B43" t="str">
        <f>IF(AND(HLOOKUP('General data'!$E$22,$C$1:$V$43,43,FALSE)="X",LEFT('S.01.01.04'!$D$22,8)="Reported"),"/","!")</f>
        <v>!</v>
      </c>
      <c r="E43" t="s">
        <v>511</v>
      </c>
    </row>
    <row r="44" spans="1:21">
      <c r="A44" s="34" t="s">
        <v>573</v>
      </c>
      <c r="B44" t="str">
        <f>IF(AND(HLOOKUP('General data'!$E$22,$C$1:$V$44,44,FALSE)="X",OR(LEFT('SE.01.01.16'!$D$23,8)="Reported",LEFT('S.01.01.01'!$D$23,8)="Reported")),"/","!")</f>
        <v>!</v>
      </c>
      <c r="C44" t="s">
        <v>511</v>
      </c>
      <c r="O44" t="s">
        <v>511</v>
      </c>
    </row>
    <row r="45" spans="1:21">
      <c r="A45" s="34" t="s">
        <v>575</v>
      </c>
      <c r="B45" t="str">
        <f>IF(AND(HLOOKUP('General data'!$E$22,$C$1:$V$45,45,FALSE)="X",OR(LEFT('SE.01.01.16'!$D$24,8)="Reported",LEFT('S.01.01.01'!$D$24,8)="Reported")),"/","!")</f>
        <v>!</v>
      </c>
      <c r="C45" t="s">
        <v>511</v>
      </c>
      <c r="O45" t="s">
        <v>511</v>
      </c>
    </row>
    <row r="46" spans="1:21">
      <c r="A46" s="34" t="s">
        <v>577</v>
      </c>
      <c r="B46" t="str">
        <f>IF(AND(HLOOKUP('General data'!$E$22,$C$1:$V$46,46,FALSE)="X",OR(LEFT('S.01.01.04'!$D$23,8)="Reported",LEFT('S.01.01.01'!$D$25,8)="Reported",LEFT('S.01.01.07'!$D$24,8)="Reported",LEFT('SE.01.01.16'!$D$25,8)="Reported",LEFT('SE.01.01.18'!$D$24,8)="Reported")),"/","!")</f>
        <v>!</v>
      </c>
      <c r="C46" t="s">
        <v>511</v>
      </c>
      <c r="E46" t="s">
        <v>511</v>
      </c>
      <c r="G46" t="s">
        <v>511</v>
      </c>
      <c r="O46" t="s">
        <v>511</v>
      </c>
      <c r="Q46" t="s">
        <v>511</v>
      </c>
    </row>
    <row r="47" spans="1:21">
      <c r="A47" s="34" t="s">
        <v>579</v>
      </c>
      <c r="B47" t="str">
        <f>IF(AND(HLOOKUP('General data'!$E$22,$C$1:$V$47,47,FALSE)="X",OR(LEFT('S.01.01.05'!$D$18,8)="Reported",LEFT('S.01.01.02'!$D$18,8)="Reported",LEFT('S.01.01.08'!$D$18,8)="Reported",LEFT('SE.01.01.17'!$D$18,8)="Reported",LEFT('SE.01.01.19'!$D$18,8)="Reported")),"/","!")</f>
        <v>!</v>
      </c>
      <c r="D47" t="s">
        <v>511</v>
      </c>
      <c r="F47" t="s">
        <v>511</v>
      </c>
      <c r="H47" t="s">
        <v>511</v>
      </c>
      <c r="P47" t="s">
        <v>511</v>
      </c>
      <c r="R47" t="s">
        <v>511</v>
      </c>
      <c r="T47" t="s">
        <v>511</v>
      </c>
      <c r="U47" t="s">
        <v>511</v>
      </c>
    </row>
    <row r="48" spans="1:21">
      <c r="A48" s="34" t="s">
        <v>580</v>
      </c>
      <c r="B48" t="str">
        <f>IF(AND(HLOOKUP('General data'!$E$22,$C$1:$V$48,48,FALSE)="X",LEFT('S.01.01.13'!$D$18,8)="Reported"),"/","!")</f>
        <v>!</v>
      </c>
      <c r="L48" t="s">
        <v>511</v>
      </c>
    </row>
    <row r="49" spans="1:21">
      <c r="A49" s="34" t="s">
        <v>581</v>
      </c>
      <c r="B49" t="str">
        <f>IF(AND(HLOOKUP('General data'!$E$22,$C$1:$V$49,49,FALSE)="X",OR(LEFT('S.01.01.04'!$D$24,8)="Reported",LEFT('S.01.01.01'!$D$26,8)="Reported",LEFT('S.01.01.07'!$D$25,8)="Reported",LEFT('SE.01.01.16'!$D$26,8)="Reported",LEFT('SE.01.01.18'!$D$25,8)="Reported")),"/","!")</f>
        <v>!</v>
      </c>
      <c r="C49" t="s">
        <v>511</v>
      </c>
      <c r="E49" t="s">
        <v>511</v>
      </c>
      <c r="G49" t="s">
        <v>511</v>
      </c>
      <c r="O49" t="s">
        <v>511</v>
      </c>
      <c r="Q49" t="s">
        <v>511</v>
      </c>
      <c r="T49" t="s">
        <v>511</v>
      </c>
      <c r="U49" t="s">
        <v>511</v>
      </c>
    </row>
    <row r="50" spans="1:21">
      <c r="A50" s="34" t="s">
        <v>583</v>
      </c>
      <c r="B50" t="str">
        <f>IF(AND(HLOOKUP('General data'!$E$22,$C$1:$V$50,50,FALSE)="X",OR(LEFT('S.01.01.04'!$D$25,8)="Reported",LEFT('S.01.01.01'!$D$27,8)="Reported",LEFT('SE.01.01.16'!$D$27,8)="Reported")),"/","!")</f>
        <v>!</v>
      </c>
      <c r="C50" t="s">
        <v>511</v>
      </c>
      <c r="E50" t="s">
        <v>511</v>
      </c>
      <c r="O50" t="s">
        <v>511</v>
      </c>
    </row>
    <row r="51" spans="1:21">
      <c r="A51" s="34" t="s">
        <v>585</v>
      </c>
      <c r="B51" t="str">
        <f>IF(AND(HLOOKUP('General data'!$E$22,$C$1:$V$51,51,FALSE)="X",OR(LEFT('S.01.01.02'!$D$19,8)="Reported",LEFT('S.01.01.01'!$D$28,8)="Reported")),"/","!")</f>
        <v>!</v>
      </c>
      <c r="C51" t="s">
        <v>511</v>
      </c>
      <c r="D51" t="s">
        <v>511</v>
      </c>
    </row>
    <row r="52" spans="1:21">
      <c r="A52" s="34" t="s">
        <v>587</v>
      </c>
      <c r="B52" t="str">
        <f>IF(AND(HLOOKUP('General data'!$E$22,$C$1:$V$52,52,FALSE)="X",OR(LEFT('S.01.01.05'!$D$19,8)="Reported",LEFT('S.01.01.04'!$D$26,8)="Reported",LEFT('S.01.01.13'!$D$19,8)="Reported")),"/","!")</f>
        <v>!</v>
      </c>
      <c r="E52" t="s">
        <v>511</v>
      </c>
      <c r="F52" t="s">
        <v>511</v>
      </c>
      <c r="L52" t="s">
        <v>511</v>
      </c>
    </row>
    <row r="53" spans="1:21">
      <c r="A53" s="34" t="s">
        <v>588</v>
      </c>
      <c r="B53" t="str">
        <f>IF(AND(HLOOKUP('General data'!$E$22,$C$1:$V$53,53,FALSE)="X",OR(LEFT('S.01.01.08'!$D$19,8)="Reported",LEFT('S.01.01.07'!$D$26,8)="Reported")),"/","!")</f>
        <v>!</v>
      </c>
      <c r="G53" t="s">
        <v>511</v>
      </c>
      <c r="H53" t="s">
        <v>511</v>
      </c>
    </row>
    <row r="54" spans="1:21">
      <c r="A54" s="34" t="s">
        <v>589</v>
      </c>
      <c r="B54" t="str">
        <f>IF(AND(HLOOKUP('General data'!$E$22,$C$1:$V$54,54,FALSE)="X",OR(LEFT('SE.01.01.17'!$D$19,8)="Reported",LEFT('SE.01.01.16'!$D$28,8)="Reported")),"/","!")</f>
        <v>!</v>
      </c>
      <c r="O54" t="s">
        <v>511</v>
      </c>
      <c r="P54" t="s">
        <v>511</v>
      </c>
    </row>
    <row r="55" spans="1:21">
      <c r="A55" s="34" t="s">
        <v>591</v>
      </c>
      <c r="B55" t="str">
        <f>IF(AND(HLOOKUP('General data'!$E$22,$C$1:$V$55,55,FALSE)="X",OR(LEFT('SE.01.01.19'!$D$19,8)="Reported",LEFT('SE.01.01.18'!$D$26,8)="Reported")),"/","!")</f>
        <v>!</v>
      </c>
      <c r="Q55" t="s">
        <v>511</v>
      </c>
      <c r="R55" t="s">
        <v>511</v>
      </c>
    </row>
    <row r="56" spans="1:21">
      <c r="A56" s="34" t="s">
        <v>593</v>
      </c>
      <c r="B56" t="str">
        <f>IF(AND(HLOOKUP('General data'!$E$22,$C$1:$V$56,56,FALSE)="X",OR(LEFT('S.01.01.02'!$D$20,8)="Reported",LEFT('S.01.01.01'!$D$29,8)="Reported",LEFT('S.01.01.07'!$D$27,8)="Reported",LEFT('S.01.01.08'!$D$20,8)="Reported",LEFT('SE.01.01.16'!$D$29,8)="Reported",LEFT('SE.01.01.17'!$D$20,8)="Reported",LEFT('SE.01.01.18'!$D$27,8)="Reported",LEFT('SE.01.01.19'!$D$20,8)="Reported")),"/","!")</f>
        <v>!</v>
      </c>
      <c r="C56" t="s">
        <v>511</v>
      </c>
      <c r="D56" t="s">
        <v>511</v>
      </c>
      <c r="G56" t="s">
        <v>511</v>
      </c>
      <c r="H56" t="s">
        <v>511</v>
      </c>
      <c r="O56" t="s">
        <v>511</v>
      </c>
      <c r="P56" t="s">
        <v>511</v>
      </c>
      <c r="Q56" t="s">
        <v>511</v>
      </c>
      <c r="R56" t="s">
        <v>511</v>
      </c>
    </row>
    <row r="57" spans="1:21">
      <c r="A57" s="34" t="s">
        <v>595</v>
      </c>
      <c r="B57" t="str">
        <f>IF(AND(HLOOKUP('General data'!$E$22,$C$1:$V$57,57,FALSE)="X",OR(LEFT('S.01.01.05'!$D$20,8)="Reported",LEFT('S.01.01.04'!$D$27,8)="Reported")),"/","!")</f>
        <v>!</v>
      </c>
      <c r="E57" t="s">
        <v>511</v>
      </c>
      <c r="F57" t="s">
        <v>511</v>
      </c>
    </row>
    <row r="58" spans="1:21">
      <c r="A58" s="34" t="s">
        <v>596</v>
      </c>
      <c r="B58" t="str">
        <f>IF(AND(HLOOKUP('General data'!$E$22,$C$1:$V$58,58,FALSE)="X",OR(LEFT('S.01.01.07'!$D$28,8)="Reported",LEFT('S.01.01.01'!$D$30,8)="Reported",LEFT('SE.01.01.16'!$D$30,8)="Reported",LEFT('SE.01.01.18'!$D$28,8)="Reported")),"/","!")</f>
        <v>!</v>
      </c>
      <c r="C58" t="s">
        <v>511</v>
      </c>
      <c r="G58" t="s">
        <v>511</v>
      </c>
      <c r="O58" t="s">
        <v>511</v>
      </c>
      <c r="Q58" t="s">
        <v>511</v>
      </c>
    </row>
    <row r="59" spans="1:21">
      <c r="A59" s="34" t="s">
        <v>598</v>
      </c>
      <c r="B59" t="str">
        <f>IF(AND(HLOOKUP('General data'!$E$22,$C$1:$V$59,59,FALSE)="X",LEFT('S.01.01.04'!$D$28,8)="Reported"),"/","!")</f>
        <v>!</v>
      </c>
      <c r="E59" t="s">
        <v>511</v>
      </c>
    </row>
    <row r="60" spans="1:21">
      <c r="A60" s="34" t="s">
        <v>599</v>
      </c>
      <c r="B60" t="str">
        <f>IF(AND(HLOOKUP('General data'!$E$22,$C$1:$V$60,60,FALSE)="X",OR(LEFT('S.01.01.02'!$D$21,8)="Reported",LEFT('S.01.01.01'!$D$31,8)="Reported",LEFT('S.01.01.07'!$D$29,8)="Reported",LEFT('S.01.01.08'!$D$21,8)="Reported",LEFT('SE.01.01.16'!$D$31,8)="Reported",LEFT('SE.01.01.17'!$D$21,8)="Reported",LEFT('SE.01.01.18'!$D$29,8)="Reported",LEFT('SE.01.01.19'!$D$21,8)="Reported")),"/","!")</f>
        <v>!</v>
      </c>
      <c r="C60" t="s">
        <v>511</v>
      </c>
      <c r="D60" t="s">
        <v>511</v>
      </c>
      <c r="G60" t="s">
        <v>511</v>
      </c>
      <c r="H60" t="s">
        <v>511</v>
      </c>
      <c r="O60" t="s">
        <v>511</v>
      </c>
      <c r="P60" t="s">
        <v>511</v>
      </c>
      <c r="Q60" t="s">
        <v>511</v>
      </c>
      <c r="R60" t="s">
        <v>511</v>
      </c>
    </row>
    <row r="61" spans="1:21">
      <c r="A61" s="34" t="s">
        <v>601</v>
      </c>
      <c r="B61" t="str">
        <f>IF(AND(HLOOKUP('General data'!$E$22,$C$1:$V$61,61,FALSE)="X",OR(LEFT('S.01.01.05'!$D$21,8)="Reported",LEFT('S.01.01.04'!$D$29,8)="Reported")),"/","!")</f>
        <v>!</v>
      </c>
      <c r="E61" t="s">
        <v>511</v>
      </c>
      <c r="F61" t="s">
        <v>511</v>
      </c>
    </row>
    <row r="62" spans="1:21">
      <c r="A62" s="34" t="s">
        <v>602</v>
      </c>
      <c r="B62" t="str">
        <f>IF(AND(HLOOKUP('General data'!$E$22,$C$1:$V$62,62,FALSE)="X",OR(LEFT('S.01.01.02'!$D$22,8)="Reported",LEFT('S.01.01.01'!$D$32,8)="Reported",LEFT('S.01.01.07'!$D$30,8)="Reported",LEFT('S.01.01.08'!$D$22,8)="Reported",LEFT('SE.01.01.16'!$D$32,8)="Reported",LEFT('SE.01.01.17'!$D$22,8)="Reported",LEFT('SE.01.01.18'!$D$30,8)="Reported",LEFT('SE.01.01.19'!$D$22,8)="Reported")),"/","!")</f>
        <v>!</v>
      </c>
      <c r="C62" t="s">
        <v>511</v>
      </c>
      <c r="D62" t="s">
        <v>511</v>
      </c>
      <c r="G62" t="s">
        <v>511</v>
      </c>
      <c r="H62" t="s">
        <v>511</v>
      </c>
      <c r="O62" t="s">
        <v>511</v>
      </c>
      <c r="P62" t="s">
        <v>511</v>
      </c>
      <c r="Q62" t="s">
        <v>511</v>
      </c>
      <c r="R62" t="s">
        <v>511</v>
      </c>
    </row>
    <row r="63" spans="1:21">
      <c r="A63" s="34" t="s">
        <v>604</v>
      </c>
      <c r="B63" t="str">
        <f>IF(AND(HLOOKUP('General data'!$E$22,$C$1:$V$63,63,FALSE)="X",OR(LEFT('S.01.01.05'!$D$22,8)="Reported",LEFT('S.01.01.04'!$D$30,8)="Reported")),"/","!")</f>
        <v>!</v>
      </c>
      <c r="E63" t="s">
        <v>511</v>
      </c>
      <c r="F63" t="s">
        <v>511</v>
      </c>
    </row>
    <row r="64" spans="1:21">
      <c r="A64" s="34" t="s">
        <v>605</v>
      </c>
      <c r="B64" t="str">
        <f>IF(AND(HLOOKUP('General data'!$E$22,$C$1:$V$64,64,FALSE)="X",OR(LEFT('S.01.01.07'!$D$31,8)="Reported",LEFT('S.01.01.01'!$D$33,8)="Reported",LEFT('SE.01.01.16'!$D$33,8)="Reported",LEFT('SE.01.01.18'!$D$31,8)="Reported")),"/","!")</f>
        <v>!</v>
      </c>
      <c r="C64" t="s">
        <v>511</v>
      </c>
      <c r="G64" t="s">
        <v>511</v>
      </c>
      <c r="O64" t="s">
        <v>511</v>
      </c>
      <c r="Q64" t="s">
        <v>511</v>
      </c>
    </row>
    <row r="65" spans="1:20">
      <c r="A65" s="34" t="s">
        <v>607</v>
      </c>
      <c r="B65" t="str">
        <f>IF(AND(HLOOKUP('General data'!$E$22,$C$1:$V$65,65,FALSE)="X",LEFT('S.01.01.04'!$D$31,8)="Reported"),"/","!")</f>
        <v>!</v>
      </c>
      <c r="E65" t="s">
        <v>511</v>
      </c>
    </row>
    <row r="66" spans="1:20">
      <c r="A66" s="34" t="s">
        <v>608</v>
      </c>
      <c r="B66" t="str">
        <f>IF(AND(HLOOKUP('General data'!$E$22,$C$1:$V$66,66,FALSE)="X",OR(LEFT('S.01.01.07'!$D$32,8)="Reported",LEFT('S.01.01.01'!$D$34,8)="Reported",LEFT('SE.01.01.16'!$D$34,8)="Reported",LEFT('SE.01.01.18'!$D$32,8)="Reported")),"/","!")</f>
        <v>!</v>
      </c>
      <c r="C66" t="s">
        <v>511</v>
      </c>
      <c r="G66" t="s">
        <v>511</v>
      </c>
      <c r="O66" t="s">
        <v>511</v>
      </c>
      <c r="Q66" t="s">
        <v>511</v>
      </c>
    </row>
    <row r="67" spans="1:20">
      <c r="A67" s="34" t="s">
        <v>610</v>
      </c>
      <c r="B67" t="str">
        <f>IF(AND(HLOOKUP('General data'!$E$22,$C$1:$V$67,67,FALSE)="X",LEFT('S.01.01.04'!$D$32,8)="Reported"),"/","!")</f>
        <v>!</v>
      </c>
      <c r="E67" t="s">
        <v>511</v>
      </c>
    </row>
    <row r="68" spans="1:20">
      <c r="A68" s="34" t="s">
        <v>611</v>
      </c>
      <c r="B68" t="str">
        <f>IF(AND(HLOOKUP('General data'!$E$22,$C$1:$V$68,68,FALSE)="X",OR(LEFT('S.01.01.07'!$D$33,8)="Reported",LEFT('S.01.01.01'!$D$35,8)="Reported",LEFT('SE.01.01.16'!$D$35,8)="Reported",LEFT('SE.01.01.18'!$D$33,8)="Reported")),"/","!")</f>
        <v>!</v>
      </c>
      <c r="C68" t="s">
        <v>511</v>
      </c>
      <c r="G68" t="s">
        <v>511</v>
      </c>
      <c r="O68" t="s">
        <v>511</v>
      </c>
      <c r="Q68" t="s">
        <v>511</v>
      </c>
    </row>
    <row r="69" spans="1:20">
      <c r="A69" s="34" t="s">
        <v>613</v>
      </c>
      <c r="B69" t="str">
        <f>IF(AND(HLOOKUP('General data'!$E$22,$C$1:$V$69,69,FALSE)="X",LEFT('S.01.01.04'!$D$33,8)="Reported"),"/","!")</f>
        <v>!</v>
      </c>
      <c r="E69" t="s">
        <v>511</v>
      </c>
    </row>
    <row r="70" spans="1:20">
      <c r="A70" s="34" t="s">
        <v>614</v>
      </c>
      <c r="B70" t="str">
        <f>IF(AND(HLOOKUP('General data'!$E$22,$C$1:$V$70,70,FALSE)="X",OR(LEFT('S.01.01.07'!$D$34,8)="Reported",LEFT('S.01.01.01'!$D$36,8)="Reported",LEFT('SE.01.01.16'!$D$36,8)="Reported",LEFT('SE.01.01.18'!$D$34,8)="Reported")),"/","!")</f>
        <v>!</v>
      </c>
      <c r="C70" t="s">
        <v>511</v>
      </c>
      <c r="G70" t="s">
        <v>511</v>
      </c>
      <c r="O70" t="s">
        <v>511</v>
      </c>
      <c r="Q70" t="s">
        <v>511</v>
      </c>
    </row>
    <row r="71" spans="1:20">
      <c r="A71" s="34" t="s">
        <v>616</v>
      </c>
      <c r="B71" t="str">
        <f>IF(AND(HLOOKUP('General data'!$E$22,$C$1:$V$71,71,FALSE)="X",OR(LEFT('S.01.01.08'!$D$23,8)="Reported",LEFT('S.01.01.02'!$D$23,8)="Reported",LEFT('SE.01.01.17'!$D$23,8)="Reported",LEFT('SE.01.01.19'!$D$23,8)="Reported")),"/","!")</f>
        <v>!</v>
      </c>
      <c r="D71" t="s">
        <v>511</v>
      </c>
      <c r="H71" t="s">
        <v>511</v>
      </c>
      <c r="P71" t="s">
        <v>511</v>
      </c>
      <c r="R71" t="s">
        <v>511</v>
      </c>
      <c r="T71" t="s">
        <v>511</v>
      </c>
    </row>
    <row r="72" spans="1:20">
      <c r="A72" s="34" t="s">
        <v>617</v>
      </c>
      <c r="B72" t="str">
        <f>IF(AND(HLOOKUP('General data'!$E$22,$C$1:$V$72,72,FALSE)="X",OR(LEFT('SR.01.01.07'!$D$21,8)="Reported",LEFT('SR.01.01.01'!$D$21,8)="Reported")),"/","!")</f>
        <v>!</v>
      </c>
      <c r="C72" t="s">
        <v>511</v>
      </c>
      <c r="G72" t="s">
        <v>511</v>
      </c>
      <c r="O72" t="s">
        <v>511</v>
      </c>
      <c r="Q72" t="s">
        <v>511</v>
      </c>
    </row>
    <row r="73" spans="1:20">
      <c r="A73" s="34" t="s">
        <v>618</v>
      </c>
      <c r="B73" t="str">
        <f>IF(AND(HLOOKUP('General data'!$E$22,$C$1:$V$73,73,FALSE)="X",OR(LEFT('S.01.01.07'!$D$35,8)="Reported",LEFT('S.01.01.01'!$D$37,8)="Reported",LEFT('SE.01.01.16'!$D$37,8)="Reported",LEFT('SE.01.01.18'!$D$35,8)="Reported")),"/","!")</f>
        <v>!</v>
      </c>
      <c r="C73" t="s">
        <v>511</v>
      </c>
      <c r="G73" t="s">
        <v>511</v>
      </c>
      <c r="O73" t="s">
        <v>511</v>
      </c>
      <c r="Q73" t="s">
        <v>511</v>
      </c>
    </row>
    <row r="74" spans="1:20">
      <c r="A74" s="34" t="s">
        <v>620</v>
      </c>
      <c r="B74" t="str">
        <f>IF(AND(HLOOKUP('General data'!$E$22,$C$1:$V$74,74,FALSE)="X",OR(LEFT('S.01.01.07'!$D$36,8)="Reported",LEFT('S.01.01.01'!$D$38,8)="Reported",LEFT('SE.01.01.16'!$D$38,8)="Reported",LEFT('SE.01.01.18'!$D$36,8)="Reported")),"/","!")</f>
        <v>!</v>
      </c>
      <c r="C74" t="s">
        <v>511</v>
      </c>
      <c r="G74" t="s">
        <v>511</v>
      </c>
      <c r="O74" t="s">
        <v>511</v>
      </c>
      <c r="Q74" t="s">
        <v>511</v>
      </c>
    </row>
    <row r="75" spans="1:20">
      <c r="A75" s="34" t="s">
        <v>622</v>
      </c>
      <c r="B75" t="str">
        <f>IF(AND(HLOOKUP('General data'!$E$22,$C$1:$V$75,75,FALSE)="X",OR(LEFT('S.01.01.07'!$D$37,8)="Reported",LEFT('S.01.01.01'!$D$39,8)="Reported",LEFT('SE.01.01.16'!$D$39,8)="Reported",LEFT('SE.01.01.18'!$D$37,8)="Reported")),"/","!")</f>
        <v>!</v>
      </c>
      <c r="C75" t="s">
        <v>511</v>
      </c>
      <c r="G75" t="s">
        <v>511</v>
      </c>
      <c r="O75" t="s">
        <v>511</v>
      </c>
      <c r="Q75" t="s">
        <v>511</v>
      </c>
    </row>
    <row r="76" spans="1:20">
      <c r="A76" s="34" t="s">
        <v>624</v>
      </c>
      <c r="B76" t="str">
        <f>IF(AND(HLOOKUP('General data'!$E$22,$C$1:$V$76,76,FALSE)="X",OR(LEFT('S.01.01.12'!$D$17,8)="Reported",LEFT('S.01.01.10'!$D$17,8)="Reported",LEFT('S.01.01.14'!$D$17,8)="Reported")),"/","!")</f>
        <v>!</v>
      </c>
      <c r="I76" t="s">
        <v>511</v>
      </c>
      <c r="K76" t="s">
        <v>511</v>
      </c>
      <c r="M76" t="s">
        <v>511</v>
      </c>
    </row>
    <row r="77" spans="1:20">
      <c r="A77" s="34" t="s">
        <v>625</v>
      </c>
      <c r="B77" t="str">
        <f>IF(AND(HLOOKUP('General data'!$E$22,$C$1:$V$77,77,FALSE)="X",OR(LEFT('S.01.01.07'!$D$38,8)="Reported",LEFT('S.01.01.01'!$D$40,8)="Reported",LEFT('SE.01.01.16'!$D$40,8)="Reported",LEFT('SE.01.01.18'!$D$38,8)="Reported")),"/","!")</f>
        <v>!</v>
      </c>
      <c r="C77" t="s">
        <v>511</v>
      </c>
      <c r="G77" t="s">
        <v>511</v>
      </c>
      <c r="O77" t="s">
        <v>511</v>
      </c>
      <c r="Q77" t="s">
        <v>511</v>
      </c>
    </row>
    <row r="78" spans="1:20">
      <c r="A78" s="34" t="s">
        <v>627</v>
      </c>
      <c r="B78" t="str">
        <f>IF(AND(HLOOKUP('General data'!$E$22,$C$1:$V$78,78,FALSE)="X",LEFT('S.01.01.04'!$D$34,8)="Reported"),"/","!")</f>
        <v>!</v>
      </c>
      <c r="E78" t="s">
        <v>511</v>
      </c>
    </row>
    <row r="79" spans="1:20">
      <c r="A79" s="34" t="s">
        <v>628</v>
      </c>
      <c r="B79" t="str">
        <f>IF(AND(HLOOKUP('General data'!$E$22,$C$1:$V$79,79,FALSE)="X",OR(LEFT('S.01.01.07'!$D$39,8)="Reported",LEFT('S.01.01.01'!$D$41,8)="Reported",LEFT('SE.01.01.16'!$D$41,8)="Reported",LEFT('SE.01.01.18'!$D$39,8)="Reported")),"/","!")</f>
        <v>!</v>
      </c>
      <c r="C79" t="s">
        <v>511</v>
      </c>
      <c r="G79" t="s">
        <v>511</v>
      </c>
      <c r="O79" t="s">
        <v>511</v>
      </c>
      <c r="Q79" t="s">
        <v>511</v>
      </c>
    </row>
    <row r="80" spans="1:20">
      <c r="A80" s="34" t="s">
        <v>630</v>
      </c>
      <c r="B80" t="str">
        <f>IF(AND(HLOOKUP('General data'!$E$22,$C$1:$V$80,80,FALSE)="X",LEFT('S.01.01.04'!$D$35,8)="Reported"),"/","!")</f>
        <v>!</v>
      </c>
      <c r="E80" t="s">
        <v>511</v>
      </c>
    </row>
    <row r="81" spans="1:21">
      <c r="A81" s="34" t="s">
        <v>631</v>
      </c>
      <c r="B81" t="str">
        <f>IF(AND(HLOOKUP('General data'!$E$22,$C$1:$V$81,81,FALSE)="X",OR(LEFT('S.01.01.07'!$D$40,8)="Reported",LEFT('S.01.01.01'!$D$42,8)="Reported",LEFT('SE.01.01.16'!$D$42,8)="Reported",LEFT('SE.01.01.18'!$D$40,8)="Reported")),"/","!")</f>
        <v>!</v>
      </c>
      <c r="C81" t="s">
        <v>511</v>
      </c>
      <c r="G81" t="s">
        <v>511</v>
      </c>
      <c r="O81" t="s">
        <v>511</v>
      </c>
      <c r="Q81" t="s">
        <v>511</v>
      </c>
    </row>
    <row r="82" spans="1:21">
      <c r="A82" s="34" t="s">
        <v>633</v>
      </c>
      <c r="B82" t="str">
        <f>IF(AND(HLOOKUP('General data'!$E$22,$C$1:$V$82,82,FALSE)="X",OR(LEFT('S.01.01.07'!$D$41,8)="Reported",LEFT('S.01.01.01'!$D$43,8)="Reported",LEFT('SE.01.01.16'!$D$43,8)="Reported",LEFT('SE.01.01.18'!$D$41,8)="Reported")),"/","!")</f>
        <v>!</v>
      </c>
      <c r="C82" t="s">
        <v>511</v>
      </c>
      <c r="G82" t="s">
        <v>511</v>
      </c>
      <c r="O82" t="s">
        <v>511</v>
      </c>
      <c r="Q82" t="s">
        <v>511</v>
      </c>
    </row>
    <row r="83" spans="1:21">
      <c r="A83" s="34" t="s">
        <v>635</v>
      </c>
      <c r="B83" t="str">
        <f>IF(AND(HLOOKUP('General data'!$E$22,$C$1:$V$83,83,FALSE)="X",OR(LEFT('S.01.01.08'!$D$24,8)="Reported",LEFT('S.01.01.02'!$D$24,8)="Reported",LEFT('SE.01.01.17'!$D$24,8)="Reported",LEFT('SE.01.01.19'!$D$24,8)="Reported")),"/","!")</f>
        <v>!</v>
      </c>
      <c r="D83" t="s">
        <v>511</v>
      </c>
      <c r="H83" t="s">
        <v>511</v>
      </c>
      <c r="P83" t="s">
        <v>511</v>
      </c>
      <c r="R83" t="s">
        <v>511</v>
      </c>
      <c r="T83" t="s">
        <v>511</v>
      </c>
    </row>
    <row r="84" spans="1:21">
      <c r="A84" s="34" t="s">
        <v>636</v>
      </c>
      <c r="B84" t="str">
        <f>IF(AND(HLOOKUP('General data'!$E$22,$C$1:$V$84,84,FALSE)="X",OR(LEFT('SR.01.01.07'!$D$22,8)="Reported",LEFT('SR.01.01.01'!$D$22,8)="Reported")),"/","!")</f>
        <v>!</v>
      </c>
      <c r="C84" t="s">
        <v>511</v>
      </c>
      <c r="G84" t="s">
        <v>511</v>
      </c>
      <c r="O84" t="s">
        <v>511</v>
      </c>
      <c r="Q84" t="s">
        <v>511</v>
      </c>
    </row>
    <row r="85" spans="1:21">
      <c r="A85" s="34" t="s">
        <v>637</v>
      </c>
      <c r="B85" t="str">
        <f>IF(AND(HLOOKUP('General data'!$E$22,$C$1:$V$85,85,FALSE)="X",OR(LEFT('S.01.01.07'!$D$42,8)="Reported",LEFT('S.01.01.01'!$D$44,8)="Reported",LEFT('SE.01.01.16'!$D$44,8)="Reported",LEFT('SE.01.01.18'!$D$42,8)="Reported")),"/","!")</f>
        <v>!</v>
      </c>
      <c r="C85" t="s">
        <v>511</v>
      </c>
      <c r="G85" t="s">
        <v>511</v>
      </c>
      <c r="O85" t="s">
        <v>511</v>
      </c>
      <c r="Q85" t="s">
        <v>511</v>
      </c>
    </row>
    <row r="86" spans="1:21">
      <c r="A86" s="34" t="s">
        <v>639</v>
      </c>
      <c r="B86" t="str">
        <f>IF(AND(HLOOKUP('General data'!$E$22,$C$1:$V$86,86,FALSE)="X",OR(LEFT('S.01.01.07'!$D$43,8)="Reported",LEFT('S.01.01.01'!$D$45,8)="Reported",LEFT('SE.01.01.16'!$D$45,8)="Reported",LEFT('SE.01.01.18'!$D$43,8)="Reported")),"/","!")</f>
        <v>!</v>
      </c>
      <c r="C86" t="s">
        <v>511</v>
      </c>
      <c r="G86" t="s">
        <v>511</v>
      </c>
      <c r="O86" t="s">
        <v>511</v>
      </c>
      <c r="Q86" t="s">
        <v>511</v>
      </c>
    </row>
    <row r="87" spans="1:21">
      <c r="A87" s="34" t="s">
        <v>641</v>
      </c>
      <c r="B87" t="str">
        <f>IF(AND(HLOOKUP('General data'!$E$22,$C$1:$V$87,87,FALSE)="X",OR(LEFT('S.01.01.07'!$D$44,8)="Reported",LEFT('S.01.01.01'!$D$46,8)="Reported",LEFT('SE.01.01.16'!$D$46,8)="Reported",LEFT('SE.01.01.18'!$D$44,8)="Reported")),"/","!")</f>
        <v>!</v>
      </c>
      <c r="C87" t="s">
        <v>511</v>
      </c>
      <c r="G87" t="s">
        <v>511</v>
      </c>
      <c r="O87" t="s">
        <v>511</v>
      </c>
      <c r="Q87" t="s">
        <v>511</v>
      </c>
    </row>
    <row r="88" spans="1:21">
      <c r="A88" s="34" t="s">
        <v>643</v>
      </c>
      <c r="B88" t="str">
        <f>IF(AND(HLOOKUP('General data'!$E$22,$C$1:$V$88,88,FALSE)="X",Index!D92="Reported"),"/","!")</f>
        <v>/</v>
      </c>
      <c r="T88" t="s">
        <v>511</v>
      </c>
    </row>
    <row r="89" spans="1:21">
      <c r="A89" s="34" t="s">
        <v>644</v>
      </c>
      <c r="B89" t="str">
        <f>IF(AND(HLOOKUP('General data'!$E$22,$C$1:$V$89,89,FALSE)="X",OR(LEFT('S.01.01.07'!$D$45,8)="Reported",LEFT('S.01.01.01'!$D$47,8)="Reported",LEFT('SE.01.01.16'!$D$47,8)="Reported",LEFT('SE.01.01.18'!$D$45,8)="Reported")),"/","!")</f>
        <v>!</v>
      </c>
      <c r="C89" t="s">
        <v>511</v>
      </c>
      <c r="G89" t="s">
        <v>511</v>
      </c>
      <c r="O89" t="s">
        <v>511</v>
      </c>
      <c r="Q89" t="s">
        <v>511</v>
      </c>
    </row>
    <row r="90" spans="1:21">
      <c r="A90" s="34" t="s">
        <v>646</v>
      </c>
      <c r="B90" t="str">
        <f>IF(AND(HLOOKUP('General data'!$E$22,$C$1:$V$90,90,FALSE)="X",OR(LEFT('S.01.01.07'!$D$46,8)="Reported",LEFT('S.01.01.01'!$D$48,8)="Reported",LEFT('SE.01.01.16'!$D$48,8)="Reported",LEFT('SE.01.01.18'!$D$46,8)="Reported")),"/","!")</f>
        <v>!</v>
      </c>
      <c r="C90" t="s">
        <v>511</v>
      </c>
      <c r="G90" t="s">
        <v>511</v>
      </c>
      <c r="O90" t="s">
        <v>511</v>
      </c>
      <c r="Q90" t="s">
        <v>511</v>
      </c>
    </row>
    <row r="91" spans="1:21">
      <c r="A91" s="34" t="s">
        <v>648</v>
      </c>
      <c r="B91" t="str">
        <f>IF(AND(HLOOKUP('General data'!$E$22,$C$1:$V$91,91,FALSE)="X",OR(LEFT('S.01.01.07'!$D$47,8)="Reported",LEFT('S.01.01.01'!$D$49,8)="Reported",LEFT('SE.01.01.16'!$D$49,8)="Reported",LEFT('SE.01.01.18'!$D$47,8)="Reported")),"/","!")</f>
        <v>!</v>
      </c>
      <c r="C91" t="s">
        <v>511</v>
      </c>
      <c r="G91" t="s">
        <v>511</v>
      </c>
      <c r="O91" t="s">
        <v>511</v>
      </c>
      <c r="Q91" t="s">
        <v>511</v>
      </c>
    </row>
    <row r="92" spans="1:21">
      <c r="A92" s="34" t="s">
        <v>650</v>
      </c>
      <c r="B92" t="str">
        <f>IF(AND(HLOOKUP('General data'!$E$22,$C$1:$V$92,92,FALSE)="X",OR(LEFT('S.01.01.07'!$D$48,8)="Reported",LEFT('S.01.01.01'!$D$50,8)="Reported",LEFT('SE.01.01.16'!$D$50,8)="Reported",LEFT('SE.01.01.18'!$D$48,8)="Reported")),"/","!")</f>
        <v>!</v>
      </c>
      <c r="C92" t="s">
        <v>511</v>
      </c>
      <c r="G92" t="s">
        <v>511</v>
      </c>
      <c r="O92" t="s">
        <v>511</v>
      </c>
      <c r="Q92" t="s">
        <v>511</v>
      </c>
    </row>
    <row r="93" spans="1:21">
      <c r="A93" s="34" t="s">
        <v>652</v>
      </c>
      <c r="B93" t="str">
        <f>IF(AND(HLOOKUP('General data'!$E$22,$C$1:$V$93,93,FALSE)="X",OR(LEFT('S.01.01.07'!$D$49,8)="Reported",LEFT('S.01.01.01'!$D$51,8)="Reported",LEFT('SE.01.01.16'!$D$51,8)="Reported",LEFT('SE.01.01.18'!$D$49,8)="Reported")),"/","!")</f>
        <v>!</v>
      </c>
      <c r="C93" t="s">
        <v>511</v>
      </c>
      <c r="G93" t="s">
        <v>511</v>
      </c>
      <c r="O93" t="s">
        <v>511</v>
      </c>
      <c r="Q93" t="s">
        <v>511</v>
      </c>
    </row>
    <row r="94" spans="1:21">
      <c r="A94" s="34" t="s">
        <v>654</v>
      </c>
      <c r="B94" t="str">
        <f>IF(AND(HLOOKUP('General data'!$E$22,$C$1:$V$94,94,FALSE)="X",LEFT('S.01.01.04'!$D$36,8)="Reported"),"/","!")</f>
        <v>!</v>
      </c>
      <c r="E94" t="s">
        <v>511</v>
      </c>
    </row>
    <row r="95" spans="1:21">
      <c r="A95" s="34" t="s">
        <v>655</v>
      </c>
      <c r="B95" t="str">
        <f>IF(AND(HLOOKUP('General data'!$E$22,$C$1:$V$95,95,FALSE)="X",Index!D99="Reported"),"/","!")</f>
        <v>/</v>
      </c>
      <c r="T95" t="s">
        <v>511</v>
      </c>
    </row>
    <row r="96" spans="1:21">
      <c r="A96" s="34" t="s">
        <v>656</v>
      </c>
      <c r="B96" t="str">
        <f>IF(AND(HLOOKUP('General data'!$E$22,$C$1:$V$96,96,FALSE)="X",Index!D100="Reported"),"/","!")</f>
        <v>!</v>
      </c>
      <c r="U96" t="s">
        <v>511</v>
      </c>
    </row>
    <row r="97" spans="1:21">
      <c r="A97" s="34" t="s">
        <v>657</v>
      </c>
      <c r="B97" t="str">
        <f>IF(AND(HLOOKUP('General data'!$E$22,$C$1:$V$97,97,FALSE)="X",OR(LEFT('SR.01.01.07'!$D$23,8)="Reported",LEFT('SR.01.01.01'!$D$23,8)="Reported")),"/","!")</f>
        <v>!</v>
      </c>
      <c r="C97" t="s">
        <v>511</v>
      </c>
      <c r="G97" t="s">
        <v>511</v>
      </c>
      <c r="O97" t="s">
        <v>511</v>
      </c>
      <c r="Q97" t="s">
        <v>511</v>
      </c>
    </row>
    <row r="98" spans="1:21">
      <c r="A98" s="34" t="s">
        <v>659</v>
      </c>
      <c r="B98" t="str">
        <f>IF(AND(HLOOKUP('General data'!$E$22,$C$1:$V$98,98,FALSE)="X",OR(LEFT('SR.01.01.07'!$D$24,8)="Reported",LEFT('SR.01.01.01'!$D$24,8)="Reported")),"/","!")</f>
        <v>!</v>
      </c>
      <c r="C98" t="s">
        <v>511</v>
      </c>
      <c r="G98" t="s">
        <v>511</v>
      </c>
      <c r="O98" t="s">
        <v>511</v>
      </c>
      <c r="Q98" t="s">
        <v>511</v>
      </c>
    </row>
    <row r="99" spans="1:21">
      <c r="A99" s="34" t="s">
        <v>661</v>
      </c>
      <c r="B99" t="str">
        <f>IF(AND(HLOOKUP('General data'!$E$22,$C$1:$V$99,99,FALSE)="X",OR(LEFT('S.01.01.07'!$D$50,8)="Reported",LEFT('S.01.01.01'!$D$52,8)="Reported",LEFT('SE.01.01.16'!$D$52,8)="Reported",LEFT('SE.01.01.18'!$D$50,8)="Reported")),"/","!")</f>
        <v>!</v>
      </c>
      <c r="C99" t="s">
        <v>511</v>
      </c>
      <c r="G99" t="s">
        <v>511</v>
      </c>
      <c r="O99" t="s">
        <v>511</v>
      </c>
      <c r="Q99" t="s">
        <v>511</v>
      </c>
    </row>
    <row r="100" spans="1:21">
      <c r="A100" s="34" t="s">
        <v>663</v>
      </c>
      <c r="B100" t="str">
        <f>IF(AND(HLOOKUP('General data'!$E$22,$C$1:$V$100,100,FALSE)="X",OR(LEFT('S.01.01.07'!$D$51,8)="Reported",LEFT('S.01.01.01'!$D$53,8)="Reported",LEFT('SE.01.01.16'!$D$53,8)="Reported",LEFT('SE.01.01.18'!$D$51,8)="Reported")),"/","!")</f>
        <v>!</v>
      </c>
      <c r="C100" t="s">
        <v>511</v>
      </c>
      <c r="G100" t="s">
        <v>511</v>
      </c>
      <c r="O100" t="s">
        <v>511</v>
      </c>
      <c r="Q100" t="s">
        <v>511</v>
      </c>
    </row>
    <row r="101" spans="1:21">
      <c r="A101" s="34" t="s">
        <v>665</v>
      </c>
      <c r="B101" t="str">
        <f>IF(AND(HLOOKUP('General data'!$E$22,$C$1:$V$101,101,FALSE)="X",OR(LEFT('S.01.01.07'!$D$52,8)="Reported",LEFT('S.01.01.01'!$D$54,8)="Reported",LEFT('SE.01.01.16'!$D$54,8)="Reported",LEFT('SE.01.01.18'!$D$52,8)="Reported")),"/","!")</f>
        <v>!</v>
      </c>
      <c r="C101" t="s">
        <v>511</v>
      </c>
      <c r="G101" t="s">
        <v>511</v>
      </c>
      <c r="O101" t="s">
        <v>511</v>
      </c>
      <c r="Q101" t="s">
        <v>511</v>
      </c>
    </row>
    <row r="102" spans="1:21">
      <c r="A102" s="34" t="s">
        <v>667</v>
      </c>
      <c r="B102" t="str">
        <f>IF(AND(HLOOKUP('General data'!$E$22,$C$1:$V$102,102,FALSE)="X",OR(LEFT('S.01.01.02'!$D$25,8)="Reported",LEFT('S.01.01.01'!$D$55,8)="Reported",LEFT('SE.01.01.16'!$D$55,8)="Reported",LEFT('SE.01.01.17'!$D$25,8)="Reported")),"/","!")</f>
        <v>!</v>
      </c>
      <c r="C102" t="s">
        <v>511</v>
      </c>
      <c r="D102" t="s">
        <v>511</v>
      </c>
      <c r="O102" t="s">
        <v>511</v>
      </c>
      <c r="P102" t="s">
        <v>511</v>
      </c>
      <c r="T102" t="s">
        <v>511</v>
      </c>
    </row>
    <row r="103" spans="1:21">
      <c r="A103" s="34" t="s">
        <v>669</v>
      </c>
      <c r="B103" t="str">
        <f>IF(AND(HLOOKUP('General data'!$E$22,$C$1:$V$103,103,FALSE)="X",OR(LEFT('S.01.01.05'!$D$23,8)="Reported",LEFT('S.01.01.04'!$D$37,8)="Reported")),"/","!")</f>
        <v>!</v>
      </c>
      <c r="E103" t="s">
        <v>511</v>
      </c>
      <c r="F103" t="s">
        <v>511</v>
      </c>
    </row>
    <row r="104" spans="1:21">
      <c r="A104" s="34" t="s">
        <v>670</v>
      </c>
      <c r="B104" t="str">
        <f>IF(AND(HLOOKUP('General data'!$E$22,$C$1:$V$104,104,FALSE)="X",OR(LEFT('S.01.01.08'!$D$25,8)="Reported",LEFT('S.01.01.07'!$D$53,8)="Reported",LEFT('SE.01.01.18'!$D$53,8)="Reported",LEFT('SE.01.01.19'!$D$25,8)="Reported")),"/","!")</f>
        <v>!</v>
      </c>
      <c r="G104" t="s">
        <v>511</v>
      </c>
      <c r="H104" t="s">
        <v>511</v>
      </c>
      <c r="Q104" t="s">
        <v>511</v>
      </c>
      <c r="R104" t="s">
        <v>511</v>
      </c>
    </row>
    <row r="105" spans="1:21">
      <c r="A105" s="34" t="s">
        <v>671</v>
      </c>
      <c r="B105" t="str">
        <f>IF(AND(HLOOKUP('General data'!$E$22,$C$1:$V$105,105,FALSE)="X",LEFT('S.01.01.13'!$D$20,8)="Reported"),"/","!")</f>
        <v>!</v>
      </c>
      <c r="L105" t="s">
        <v>511</v>
      </c>
    </row>
    <row r="106" spans="1:21">
      <c r="A106" s="34" t="s">
        <v>672</v>
      </c>
      <c r="B106" t="str">
        <f>IF(AND(HLOOKUP('General data'!$E$22,$C$1:$V$106,106,FALSE)="X",Index!D110="Reported"),"/","!")</f>
        <v>!</v>
      </c>
      <c r="U106" t="s">
        <v>511</v>
      </c>
    </row>
    <row r="107" spans="1:21">
      <c r="A107" s="34" t="s">
        <v>673</v>
      </c>
      <c r="B107" t="str">
        <f>IF(AND(HLOOKUP('General data'!$E$22,$C$1:$V$107,107,FALSE)="X",OR(LEFT('SE.01.01.16'!$D$56,8)="Reported",LEFT('S.01.01.01'!$D$56,8)="Reported")),"/","!")</f>
        <v>!</v>
      </c>
      <c r="C107" t="s">
        <v>511</v>
      </c>
      <c r="O107" t="s">
        <v>511</v>
      </c>
    </row>
    <row r="108" spans="1:21">
      <c r="A108" s="34" t="s">
        <v>675</v>
      </c>
      <c r="B108" t="str">
        <f>IF(AND(HLOOKUP('General data'!$E$22,$C$1:$V$108,108,FALSE)="X",LEFT('S.01.01.04'!$D$38,8)="Reported"),"/","!")</f>
        <v>!</v>
      </c>
      <c r="E108" t="s">
        <v>511</v>
      </c>
    </row>
    <row r="109" spans="1:21">
      <c r="A109" s="34" t="s">
        <v>676</v>
      </c>
      <c r="B109" t="str">
        <f>IF(AND(HLOOKUP('General data'!$E$22,$C$1:$V$109,109,FALSE)="X",OR(LEFT('SE.01.01.16'!$D$57,8)="Reported",LEFT('S.01.01.01'!$D$57,8)="Reported")),"/","!")</f>
        <v>!</v>
      </c>
      <c r="C109" t="s">
        <v>511</v>
      </c>
      <c r="O109" t="s">
        <v>511</v>
      </c>
    </row>
    <row r="110" spans="1:21">
      <c r="A110" s="34" t="s">
        <v>678</v>
      </c>
      <c r="B110" t="str">
        <f>IF(AND(HLOOKUP('General data'!$E$22,$C$1:$V$110,110,FALSE)="X",LEFT('S.01.01.04'!$D$39,8)="Reported"),"/","!")</f>
        <v>!</v>
      </c>
      <c r="E110" t="s">
        <v>511</v>
      </c>
    </row>
    <row r="111" spans="1:21">
      <c r="A111" s="34" t="s">
        <v>679</v>
      </c>
      <c r="B111" t="str">
        <f>IF(AND(HLOOKUP('General data'!$E$22,$C$1:$V$111,111,FALSE)="X",OR(LEFT('SE.01.01.18'!$D$54,8)="Reported",LEFT('S.01.01.07'!$D$54,8)="Reported")),"/","!")</f>
        <v>!</v>
      </c>
      <c r="G111" t="s">
        <v>511</v>
      </c>
      <c r="Q111" t="s">
        <v>511</v>
      </c>
    </row>
    <row r="112" spans="1:21">
      <c r="A112" s="34" t="s">
        <v>681</v>
      </c>
      <c r="B112" t="str">
        <f>IF(AND(HLOOKUP('General data'!$E$22,$C$1:$V$112,112,FALSE)="X",OR(LEFT('SE.01.01.16'!$D$58,8)="Reported",LEFT('S.01.01.01'!$D$58,8)="Reported")),"/","!")</f>
        <v>!</v>
      </c>
      <c r="C112" t="s">
        <v>511</v>
      </c>
      <c r="O112" t="s">
        <v>511</v>
      </c>
    </row>
    <row r="113" spans="1:21">
      <c r="A113" s="34" t="s">
        <v>683</v>
      </c>
      <c r="B113" t="str">
        <f>IF(AND(HLOOKUP('General data'!$E$22,$C$1:$V$113,113,FALSE)="X",LEFT('S.01.01.04'!$D$40,8)="Reported"),"/","!")</f>
        <v>!</v>
      </c>
      <c r="E113" t="s">
        <v>511</v>
      </c>
    </row>
    <row r="114" spans="1:21">
      <c r="A114" s="34" t="s">
        <v>684</v>
      </c>
      <c r="B114" t="str">
        <f>IF(AND(HLOOKUP('General data'!$E$22,$C$1:$V$114,114,FALSE)="X",OR(LEFT('S.01.01.07'!$D$55,8)="Reported",LEFT('S.01.01.01'!$D$59,8)="Reported",LEFT('SE.01.01.16'!$D$59,8)="Reported",LEFT('SE.01.01.18'!$D$55,8)="Reported")),"/","!")</f>
        <v>!</v>
      </c>
      <c r="C114" t="s">
        <v>511</v>
      </c>
      <c r="G114" t="s">
        <v>511</v>
      </c>
      <c r="O114" t="s">
        <v>511</v>
      </c>
      <c r="Q114" t="s">
        <v>511</v>
      </c>
    </row>
    <row r="115" spans="1:21">
      <c r="A115" s="34" t="s">
        <v>686</v>
      </c>
      <c r="B115" t="str">
        <f>IF(AND(HLOOKUP('General data'!$E$22,$C$1:$V$115,115,FALSE)="X",OR(LEFT('S.01.01.07'!$D$56,8)="Reported",LEFT('S.01.01.01'!$D$60,8)="Reported",LEFT('SE.01.01.16'!$D$60,8)="Reported",LEFT('SE.01.01.18'!$D$56,8)="Reported")),"/","!")</f>
        <v>!</v>
      </c>
      <c r="C115" t="s">
        <v>511</v>
      </c>
      <c r="G115" t="s">
        <v>511</v>
      </c>
      <c r="O115" t="s">
        <v>511</v>
      </c>
      <c r="Q115" t="s">
        <v>511</v>
      </c>
    </row>
    <row r="116" spans="1:21">
      <c r="A116" s="34" t="s">
        <v>688</v>
      </c>
      <c r="B116" t="str">
        <f>IF(AND(HLOOKUP('General data'!$E$22,$C$1:$V$116,116,FALSE)="X",LEFT('S.01.01.04'!$D$41,8)="Reported"),"/","!")</f>
        <v>!</v>
      </c>
      <c r="E116" t="s">
        <v>511</v>
      </c>
    </row>
    <row r="117" spans="1:21">
      <c r="A117" s="34" t="s">
        <v>690</v>
      </c>
      <c r="B117" t="str">
        <f>IF(AND(HLOOKUP('General data'!$E$22,$C$1:$V$117,117,FALSE)="X",Index!D121="Reported"),"/","!")</f>
        <v>/</v>
      </c>
      <c r="T117" t="s">
        <v>511</v>
      </c>
    </row>
    <row r="118" spans="1:21">
      <c r="A118" s="34" t="s">
        <v>691</v>
      </c>
      <c r="B118" t="str">
        <f>IF(AND(HLOOKUP('General data'!$E$22,$C$1:$V$118,118,FALSE)="X",Index!D122="Reported"),"/","!")</f>
        <v>!</v>
      </c>
      <c r="U118" t="s">
        <v>511</v>
      </c>
    </row>
    <row r="119" spans="1:21">
      <c r="A119" s="34" t="s">
        <v>692</v>
      </c>
      <c r="B119" t="str">
        <f>IF(AND(HLOOKUP('General data'!$E$22,$C$1:$V$119,119,FALSE)="X",OR(LEFT('SR.01.01.07'!$D$25,8)="Reported",LEFT('SR.01.01.01'!$D$25,8)="Reported")),"/","!")</f>
        <v>!</v>
      </c>
      <c r="C119" t="s">
        <v>511</v>
      </c>
      <c r="G119" t="s">
        <v>511</v>
      </c>
      <c r="O119" t="s">
        <v>511</v>
      </c>
      <c r="Q119" t="s">
        <v>511</v>
      </c>
    </row>
    <row r="120" spans="1:21">
      <c r="A120" s="34" t="s">
        <v>693</v>
      </c>
      <c r="B120" t="str">
        <f>IF(AND(HLOOKUP('General data'!$E$22,$C$1:$V$120,120,FALSE)="X",LEFT('SR.01.01.04'!$D$21,8)="Reported"),"/","!")</f>
        <v>!</v>
      </c>
      <c r="E120" t="s">
        <v>511</v>
      </c>
    </row>
    <row r="121" spans="1:21">
      <c r="A121" s="34" t="s">
        <v>694</v>
      </c>
      <c r="B121" t="str">
        <f>IF(AND(HLOOKUP('General data'!$E$22,$C$1:$V$121,121,FALSE)="X",OR(LEFT('S.01.01.07'!$D$57,8)="Reported",LEFT('S.01.01.01'!$D$61,8)="Reported",LEFT('SE.01.01.16'!$D$61,8)="Reported",LEFT('SE.01.01.18'!$D$57,8)="Reported")),"/","!")</f>
        <v>!</v>
      </c>
      <c r="C121" t="s">
        <v>511</v>
      </c>
      <c r="G121" t="s">
        <v>511</v>
      </c>
      <c r="O121" t="s">
        <v>511</v>
      </c>
      <c r="Q121" t="s">
        <v>511</v>
      </c>
    </row>
    <row r="122" spans="1:21">
      <c r="A122" s="34" t="s">
        <v>696</v>
      </c>
      <c r="B122" t="str">
        <f>IF(AND(HLOOKUP('General data'!$E$22,$C$1:$V$122,122,FALSE)="X",LEFT('S.01.01.04'!$D$42,8)="Reported"),"/","!")</f>
        <v>!</v>
      </c>
      <c r="E122" t="s">
        <v>511</v>
      </c>
    </row>
    <row r="123" spans="1:21">
      <c r="A123" s="34" t="s">
        <v>698</v>
      </c>
      <c r="B123" t="str">
        <f>IF(AND(HLOOKUP('General data'!$E$22,$C$1:$V$123,123,FALSE)="X",Index!D127="Reported"),"/","!")</f>
        <v>!</v>
      </c>
      <c r="T123" t="s">
        <v>511</v>
      </c>
    </row>
    <row r="124" spans="1:21">
      <c r="A124" s="34" t="s">
        <v>699</v>
      </c>
      <c r="B124" t="str">
        <f>IF(AND(HLOOKUP('General data'!$E$22,$C$1:$V$124,124,FALSE)="X",Index!D128="Reported"),"/","!")</f>
        <v>!</v>
      </c>
      <c r="U124" t="s">
        <v>511</v>
      </c>
    </row>
    <row r="125" spans="1:21">
      <c r="A125" s="34" t="s">
        <v>700</v>
      </c>
      <c r="B125" t="str">
        <f>IF(AND(HLOOKUP('General data'!$E$22,$C$1:$V$125,125,FALSE)="X",OR(LEFT('SR.01.01.07'!$D$26,8)="Reported",LEFT('SR.01.01.01'!$D$26,8)="Reported")),"/","!")</f>
        <v>!</v>
      </c>
      <c r="C125" t="s">
        <v>511</v>
      </c>
      <c r="G125" t="s">
        <v>511</v>
      </c>
      <c r="O125" t="s">
        <v>511</v>
      </c>
      <c r="Q125" t="s">
        <v>511</v>
      </c>
    </row>
    <row r="126" spans="1:21">
      <c r="A126" s="34" t="s">
        <v>701</v>
      </c>
      <c r="B126" t="str">
        <f>IF(AND(HLOOKUP('General data'!$E$22,$C$1:$V$126,126,FALSE)="X",LEFT('SR.01.01.04'!$D$22,8)="Reported"),"/","!")</f>
        <v>!</v>
      </c>
      <c r="E126" t="s">
        <v>511</v>
      </c>
    </row>
    <row r="127" spans="1:21">
      <c r="A127" s="34" t="s">
        <v>702</v>
      </c>
      <c r="B127" t="str">
        <f>IF(AND(HLOOKUP('General data'!$E$22,$C$1:$V$127,127,FALSE)="X",OR(LEFT('S.01.01.07'!$D$58,8)="Reported",LEFT('S.01.01.01'!$D$62,8)="Reported",LEFT('SE.01.01.16'!$D$62,8)="Reported",LEFT('SE.01.01.18'!$D$58,8)="Reported")),"/","!")</f>
        <v>!</v>
      </c>
      <c r="C127" t="s">
        <v>511</v>
      </c>
      <c r="G127" t="s">
        <v>511</v>
      </c>
      <c r="O127" t="s">
        <v>511</v>
      </c>
      <c r="Q127" t="s">
        <v>511</v>
      </c>
    </row>
    <row r="128" spans="1:21">
      <c r="A128" s="34" t="s">
        <v>704</v>
      </c>
      <c r="B128" t="str">
        <f>IF(AND(HLOOKUP('General data'!$E$22,$C$1:$V$128,128,FALSE)="X",LEFT('S.01.01.04'!$D$43,8)="Reported"),"/","!")</f>
        <v>!</v>
      </c>
      <c r="E128" t="s">
        <v>511</v>
      </c>
    </row>
    <row r="129" spans="1:21">
      <c r="A129" s="34" t="s">
        <v>706</v>
      </c>
      <c r="B129" t="str">
        <f>IF(AND(HLOOKUP('General data'!$E$22,$C$1:$V$129,129,FALSE)="X",Index!D133="Reported"),"/","!")</f>
        <v>!</v>
      </c>
      <c r="T129" t="s">
        <v>511</v>
      </c>
    </row>
    <row r="130" spans="1:21">
      <c r="A130" s="34" t="s">
        <v>707</v>
      </c>
      <c r="B130" t="str">
        <f>IF(AND(HLOOKUP('General data'!$E$22,$C$1:$V$130,130,FALSE)="X",Index!D134="Reported"),"/","!")</f>
        <v>!</v>
      </c>
      <c r="U130" t="s">
        <v>511</v>
      </c>
    </row>
    <row r="131" spans="1:21">
      <c r="A131" s="34" t="s">
        <v>708</v>
      </c>
      <c r="B131" t="str">
        <f>IF(AND(HLOOKUP('General data'!$E$22,$C$1:$V$131,131,FALSE)="X",OR(LEFT('SR.01.01.07'!$D$27,8)="Reported",LEFT('SR.01.01.01'!$D$27,8)="Reported")),"/","!")</f>
        <v>!</v>
      </c>
      <c r="C131" t="s">
        <v>511</v>
      </c>
      <c r="G131" t="s">
        <v>511</v>
      </c>
      <c r="O131" t="s">
        <v>511</v>
      </c>
      <c r="Q131" t="s">
        <v>511</v>
      </c>
    </row>
    <row r="132" spans="1:21">
      <c r="A132" s="34" t="s">
        <v>709</v>
      </c>
      <c r="B132" t="str">
        <f>IF(AND(HLOOKUP('General data'!$E$22,$C$1:$V$132,132,FALSE)="X",LEFT('SR.01.01.04'!$D$23,8)="Reported"),"/","!")</f>
        <v>!</v>
      </c>
      <c r="E132" t="s">
        <v>511</v>
      </c>
    </row>
    <row r="133" spans="1:21">
      <c r="A133" s="34" t="s">
        <v>710</v>
      </c>
      <c r="B133" t="str">
        <f>IF(AND(HLOOKUP('General data'!$E$22,$C$1:$V$133,133,FALSE)="X",OR(LEFT('S.01.01.15'!$D$17,8)="Reported",LEFT('S.01.01.11'!$D$17,8)="Reported")),"/","!")</f>
        <v>!</v>
      </c>
      <c r="J133" t="s">
        <v>511</v>
      </c>
      <c r="N133" t="s">
        <v>511</v>
      </c>
    </row>
    <row r="134" spans="1:21">
      <c r="A134" s="34" t="s">
        <v>712</v>
      </c>
      <c r="B134" t="str">
        <f>IF(AND(HLOOKUP('General data'!$E$22,$C$1:$V$134,134,FALSE)="X",LEFT('S.01.01.13'!$D$21,8)="Reported"),"/","!")</f>
        <v>!</v>
      </c>
      <c r="L134" t="s">
        <v>511</v>
      </c>
    </row>
    <row r="135" spans="1:21">
      <c r="A135" s="34" t="s">
        <v>713</v>
      </c>
      <c r="B135" t="str">
        <f>IF(AND(HLOOKUP('General data'!$E$22,$C$1:$V$135,135,FALSE)="X",OR(LEFT('S.01.01.07'!$D$59,8)="Reported",LEFT('S.01.01.01'!$D$63,8)="Reported",LEFT('SE.01.01.16'!$D$63,8)="Reported",LEFT('SE.01.01.18'!$D$59,8)="Reported")),"/","!")</f>
        <v>!</v>
      </c>
      <c r="C135" t="s">
        <v>511</v>
      </c>
      <c r="G135" t="s">
        <v>511</v>
      </c>
      <c r="O135" t="s">
        <v>511</v>
      </c>
      <c r="Q135" t="s">
        <v>511</v>
      </c>
    </row>
    <row r="136" spans="1:21">
      <c r="A136" s="34" t="s">
        <v>715</v>
      </c>
      <c r="B136" t="str">
        <f>IF(AND(HLOOKUP('General data'!$E$22,$C$1:$V$136,136,FALSE)="X",LEFT('S.01.01.04'!$D$44,8)="Reported"),"/","!")</f>
        <v>!</v>
      </c>
      <c r="E136" t="s">
        <v>511</v>
      </c>
    </row>
    <row r="137" spans="1:21">
      <c r="A137" s="34" t="s">
        <v>716</v>
      </c>
      <c r="B137" t="str">
        <f>IF(AND(HLOOKUP('General data'!$E$22,$C$1:$V$137,137,FALSE)="X",OR(LEFT('SR.01.01.04'!$D$24,8)="Reported",LEFT('SR.01.01.01'!$D$28,8)="Reported",LEFT('SR.01.01.07'!$D$28,8)="Reported")),"/","!")</f>
        <v>!</v>
      </c>
      <c r="C137" t="s">
        <v>511</v>
      </c>
      <c r="E137" t="s">
        <v>511</v>
      </c>
      <c r="G137" t="s">
        <v>511</v>
      </c>
      <c r="O137" t="s">
        <v>511</v>
      </c>
      <c r="Q137" t="s">
        <v>511</v>
      </c>
    </row>
    <row r="138" spans="1:21">
      <c r="A138" s="34" t="s">
        <v>717</v>
      </c>
      <c r="B138" t="str">
        <f>IF(AND(HLOOKUP('General data'!$E$22,$C$1:$V$138,138,FALSE)="X",OR(LEFT('S.01.01.07'!$D$60,8)="Reported",LEFT('S.01.01.01'!$D$64,8)="Reported",LEFT('SE.01.01.16'!$D$64,8)="Reported",LEFT('SE.01.01.18'!$D$60,8)="Reported")),"/","!")</f>
        <v>!</v>
      </c>
      <c r="C138" t="s">
        <v>511</v>
      </c>
      <c r="G138" t="s">
        <v>511</v>
      </c>
      <c r="O138" t="s">
        <v>511</v>
      </c>
      <c r="Q138" t="s">
        <v>511</v>
      </c>
    </row>
    <row r="139" spans="1:21">
      <c r="A139" s="34" t="s">
        <v>719</v>
      </c>
      <c r="B139" t="str">
        <f>IF(AND(HLOOKUP('General data'!$E$22,$C$1:$V$139,139,FALSE)="X",LEFT('S.01.01.04'!$D$45,8)="Reported"),"/","!")</f>
        <v>!</v>
      </c>
      <c r="E139" t="s">
        <v>511</v>
      </c>
    </row>
    <row r="140" spans="1:21">
      <c r="A140" s="34" t="s">
        <v>720</v>
      </c>
      <c r="B140" t="str">
        <f>IF(AND(HLOOKUP('General data'!$E$22,$C$1:$V$140,140,FALSE)="X",OR(LEFT('SR.01.01.04'!$D$25,8)="Reported",LEFT('SR.01.01.01'!$D$29,8)="Reported",LEFT('SR.01.01.07'!$D$29,8)="Reported")),"/","!")</f>
        <v>!</v>
      </c>
      <c r="C140" t="s">
        <v>511</v>
      </c>
      <c r="E140" t="s">
        <v>511</v>
      </c>
      <c r="G140" t="s">
        <v>511</v>
      </c>
      <c r="O140" t="s">
        <v>511</v>
      </c>
      <c r="Q140" t="s">
        <v>511</v>
      </c>
    </row>
    <row r="141" spans="1:21">
      <c r="A141" s="34" t="s">
        <v>721</v>
      </c>
      <c r="B141" t="str">
        <f>IF(AND(HLOOKUP('General data'!$E$22,$C$1:$V$141,141,FALSE)="X",OR(LEFT('S.01.01.07'!$D$61,8)="Reported",LEFT('S.01.01.01'!$D$65,8)="Reported",LEFT('SE.01.01.16'!$D$65,8)="Reported",LEFT('SE.01.01.18'!$D$61,8)="Reported")),"/","!")</f>
        <v>!</v>
      </c>
      <c r="C141" t="s">
        <v>511</v>
      </c>
      <c r="G141" t="s">
        <v>511</v>
      </c>
      <c r="O141" t="s">
        <v>511</v>
      </c>
      <c r="Q141" t="s">
        <v>511</v>
      </c>
    </row>
    <row r="142" spans="1:21">
      <c r="A142" s="34" t="s">
        <v>723</v>
      </c>
      <c r="B142" t="str">
        <f>IF(AND(HLOOKUP('General data'!$E$22,$C$1:$V$142,142,FALSE)="X",LEFT('S.01.01.04'!$D$46,8)="Reported"),"/","!")</f>
        <v>!</v>
      </c>
      <c r="E142" t="s">
        <v>511</v>
      </c>
    </row>
    <row r="143" spans="1:21">
      <c r="A143" s="34" t="s">
        <v>724</v>
      </c>
      <c r="B143" t="str">
        <f>IF(AND(HLOOKUP('General data'!$E$22,$C$1:$V$143,143,FALSE)="X",OR(LEFT('SR.01.01.04'!$D$26,8)="Reported",LEFT('SR.01.01.01'!$D$30,8)="Reported",LEFT('SR.01.01.07'!$D$30,8)="Reported")),"/","!")</f>
        <v>!</v>
      </c>
      <c r="C143" t="s">
        <v>511</v>
      </c>
      <c r="E143" t="s">
        <v>511</v>
      </c>
      <c r="G143" t="s">
        <v>511</v>
      </c>
      <c r="O143" t="s">
        <v>511</v>
      </c>
      <c r="Q143" t="s">
        <v>511</v>
      </c>
    </row>
    <row r="144" spans="1:21">
      <c r="A144" s="34" t="s">
        <v>725</v>
      </c>
      <c r="B144" t="str">
        <f>IF(AND(HLOOKUP('General data'!$E$22,$C$1:$V$144,144,FALSE)="X",OR(LEFT('S.01.01.07'!$D$62,8)="Reported",LEFT('S.01.01.01'!$D$66,8)="Reported",LEFT('SE.01.01.16'!$D$66,8)="Reported",LEFT('SE.01.01.18'!$D$62,8)="Reported")),"/","!")</f>
        <v>!</v>
      </c>
      <c r="C144" t="s">
        <v>511</v>
      </c>
      <c r="G144" t="s">
        <v>511</v>
      </c>
      <c r="O144" t="s">
        <v>511</v>
      </c>
      <c r="Q144" t="s">
        <v>511</v>
      </c>
    </row>
    <row r="145" spans="1:20">
      <c r="A145" s="34" t="s">
        <v>727</v>
      </c>
      <c r="B145" t="str">
        <f>IF(AND(HLOOKUP('General data'!$E$22,$C$1:$V$145,145,FALSE)="X",LEFT('S.01.01.04'!$D$47,8)="Reported"),"/","!")</f>
        <v>!</v>
      </c>
      <c r="E145" t="s">
        <v>511</v>
      </c>
    </row>
    <row r="146" spans="1:20">
      <c r="A146" s="34" t="s">
        <v>728</v>
      </c>
      <c r="B146" t="str">
        <f>IF(AND(HLOOKUP('General data'!$E$22,$C$1:$V$146,146,FALSE)="X",OR(LEFT('SR.01.01.04'!$D$27,8)="Reported",LEFT('SR.01.01.01'!$D$31,8)="Reported",LEFT('SR.01.01.07'!$D$31,8)="Reported")),"/","!")</f>
        <v>!</v>
      </c>
      <c r="C146" t="s">
        <v>511</v>
      </c>
      <c r="E146" t="s">
        <v>511</v>
      </c>
      <c r="G146" t="s">
        <v>511</v>
      </c>
      <c r="O146" t="s">
        <v>511</v>
      </c>
      <c r="Q146" t="s">
        <v>511</v>
      </c>
    </row>
    <row r="147" spans="1:20">
      <c r="A147" s="34" t="s">
        <v>729</v>
      </c>
      <c r="B147" t="str">
        <f>IF(AND(HLOOKUP('General data'!$E$22,$C$1:$V$147,147,FALSE)="X",OR(LEFT('S.01.01.07'!$D$63,8)="Reported",LEFT('S.01.01.01'!$D$67,8)="Reported",LEFT('SE.01.01.16'!$D$67,8)="Reported",LEFT('SE.01.01.18'!$D$63,8)="Reported")),"/","!")</f>
        <v>!</v>
      </c>
      <c r="C147" t="s">
        <v>511</v>
      </c>
      <c r="G147" t="s">
        <v>511</v>
      </c>
      <c r="O147" t="s">
        <v>511</v>
      </c>
      <c r="Q147" t="s">
        <v>511</v>
      </c>
    </row>
    <row r="148" spans="1:20">
      <c r="A148" s="34" t="s">
        <v>731</v>
      </c>
      <c r="B148" t="str">
        <f>IF(AND(HLOOKUP('General data'!$E$22,$C$1:$V$148,148,FALSE)="X",LEFT('S.01.01.04'!$D$48,8)="Reported"),"/","!")</f>
        <v>!</v>
      </c>
      <c r="E148" t="s">
        <v>511</v>
      </c>
    </row>
    <row r="149" spans="1:20">
      <c r="A149" s="34" t="s">
        <v>732</v>
      </c>
      <c r="B149" t="str">
        <f>IF(AND(HLOOKUP('General data'!$E$22,$C$1:$V$149,149,FALSE)="X",OR(LEFT('SR.01.01.04'!$D$28,8)="Reported",LEFT('SR.01.01.01'!$D$32,8)="Reported",LEFT('SR.01.01.07'!$D$32,8)="Reported")),"/","!")</f>
        <v>!</v>
      </c>
      <c r="C149" t="s">
        <v>511</v>
      </c>
      <c r="E149" t="s">
        <v>511</v>
      </c>
      <c r="G149" t="s">
        <v>511</v>
      </c>
      <c r="O149" t="s">
        <v>511</v>
      </c>
      <c r="Q149" t="s">
        <v>511</v>
      </c>
    </row>
    <row r="150" spans="1:20">
      <c r="A150" s="34" t="s">
        <v>733</v>
      </c>
      <c r="B150" t="str">
        <f>IF(AND(HLOOKUP('General data'!$E$22,$C$1:$V$150,150,FALSE)="X",OR(LEFT('S.01.01.07'!$D$64,8)="Reported",LEFT('S.01.01.01'!$D$68,8)="Reported",LEFT('SE.01.01.16'!$D$68,8)="Reported",LEFT('SE.01.01.18'!$D$64,8)="Reported")),"/","!")</f>
        <v>!</v>
      </c>
      <c r="C150" t="s">
        <v>511</v>
      </c>
      <c r="G150" t="s">
        <v>511</v>
      </c>
      <c r="O150" t="s">
        <v>511</v>
      </c>
      <c r="Q150" t="s">
        <v>511</v>
      </c>
    </row>
    <row r="151" spans="1:20">
      <c r="A151" s="34" t="s">
        <v>735</v>
      </c>
      <c r="B151" t="str">
        <f>IF(AND(HLOOKUP('General data'!$E$22,$C$1:$V$151,151,FALSE)="X",LEFT('S.01.01.04'!$D$49,8)="Reported"),"/","!")</f>
        <v>!</v>
      </c>
      <c r="E151" t="s">
        <v>511</v>
      </c>
    </row>
    <row r="152" spans="1:20">
      <c r="A152" s="34" t="s">
        <v>736</v>
      </c>
      <c r="B152" t="str">
        <f>IF(AND(HLOOKUP('General data'!$E$22,$C$1:$V$152,152,FALSE)="X",OR(LEFT('SR.01.01.04'!$D$29,8)="Reported",LEFT('SR.01.01.01'!$D$33,8)="Reported",LEFT('SR.01.01.07'!$D$33,8)="Reported")),"/","!")</f>
        <v>!</v>
      </c>
      <c r="C152" t="s">
        <v>511</v>
      </c>
      <c r="E152" t="s">
        <v>511</v>
      </c>
      <c r="G152" t="s">
        <v>511</v>
      </c>
      <c r="O152" t="s">
        <v>511</v>
      </c>
      <c r="Q152" t="s">
        <v>511</v>
      </c>
    </row>
    <row r="153" spans="1:20">
      <c r="A153" s="34" t="s">
        <v>737</v>
      </c>
      <c r="B153" t="str">
        <f>IF(AND(HLOOKUP('General data'!$E$22,$C$1:$V$153,153,FALSE)="X",OR(LEFT('S.01.01.07'!$D$65,8)="Reported",LEFT('S.01.01.01'!$D$69,8)="Reported",LEFT('SE.01.01.16'!$D$69,8)="Reported",LEFT('SE.01.01.18'!$D$65,8)="Reported")),"/","!")</f>
        <v>!</v>
      </c>
      <c r="C153" t="s">
        <v>511</v>
      </c>
      <c r="G153" t="s">
        <v>511</v>
      </c>
      <c r="O153" t="s">
        <v>511</v>
      </c>
      <c r="Q153" t="s">
        <v>511</v>
      </c>
    </row>
    <row r="154" spans="1:20">
      <c r="A154" s="34" t="s">
        <v>739</v>
      </c>
      <c r="B154" t="str">
        <f>IF(AND(HLOOKUP('General data'!$E$22,$C$1:$V$154,154,FALSE)="X",LEFT('S.01.01.04'!$D$50,8)="Reported"),"/","!")</f>
        <v>!</v>
      </c>
      <c r="E154" t="s">
        <v>511</v>
      </c>
    </row>
    <row r="155" spans="1:20">
      <c r="A155" s="34" t="s">
        <v>740</v>
      </c>
      <c r="B155" t="str">
        <f>IF(AND(HLOOKUP('General data'!$E$22,$C$1:$V$155,155,FALSE)="X",OR(LEFT('SR.01.01.04'!$D$30,8)="Reported",LEFT('SR.01.01.01'!$D$34,8)="Reported",LEFT('SR.01.01.07'!$D$34,8)="Reported")),"/","!")</f>
        <v>!</v>
      </c>
      <c r="C155" t="s">
        <v>511</v>
      </c>
      <c r="E155" t="s">
        <v>511</v>
      </c>
      <c r="G155" t="s">
        <v>511</v>
      </c>
      <c r="O155" t="s">
        <v>511</v>
      </c>
      <c r="Q155" t="s">
        <v>511</v>
      </c>
    </row>
    <row r="156" spans="1:20">
      <c r="A156" s="34" t="s">
        <v>741</v>
      </c>
      <c r="B156" t="str">
        <f>IF(AND(HLOOKUP('General data'!$E$22,$C$1:$V$156,156,FALSE)="X",OR(LEFT('S.01.01.07'!$D$66,8)="Reported",LEFT('S.01.01.01'!$D$70,8)="Reported",LEFT('SE.01.01.16'!$D$70,8)="Reported",LEFT('SE.01.01.18'!$D$66,8)="Reported")),"/","!")</f>
        <v>!</v>
      </c>
      <c r="C156" t="s">
        <v>511</v>
      </c>
      <c r="G156" t="s">
        <v>511</v>
      </c>
      <c r="O156" t="s">
        <v>511</v>
      </c>
      <c r="Q156" t="s">
        <v>511</v>
      </c>
    </row>
    <row r="157" spans="1:20">
      <c r="A157" s="34" t="s">
        <v>743</v>
      </c>
      <c r="B157" t="str">
        <f>IF(AND(HLOOKUP('General data'!$E$22,$C$1:$V$157,157,FALSE)="X",LEFT('S.01.01.04'!$D$51,8)="Reported"),"/","!")</f>
        <v>!</v>
      </c>
      <c r="E157" t="s">
        <v>511</v>
      </c>
    </row>
    <row r="158" spans="1:20">
      <c r="A158" s="34" t="s">
        <v>744</v>
      </c>
      <c r="B158" t="str">
        <f>IF(AND(HLOOKUP('General data'!$E$22,$C$1:$V$158,158,FALSE)="X",OR(LEFT('SR.01.01.04'!$D$31,8)="Reported",LEFT('SR.01.01.01'!$D$35,8)="Reported",LEFT('SR.01.01.07'!$D$35,8)="Reported")),"/","!")</f>
        <v>!</v>
      </c>
      <c r="C158" t="s">
        <v>511</v>
      </c>
      <c r="E158" t="s">
        <v>511</v>
      </c>
      <c r="G158" t="s">
        <v>511</v>
      </c>
      <c r="O158" t="s">
        <v>511</v>
      </c>
      <c r="Q158" t="s">
        <v>511</v>
      </c>
    </row>
    <row r="159" spans="1:20">
      <c r="A159" s="34" t="s">
        <v>745</v>
      </c>
      <c r="B159" t="str">
        <f>IF(AND(HLOOKUP('General data'!$E$22,$C$1:$V$159,159,FALSE)="X",OR(LEFT('S.01.01.02'!$D$26,8)="Reported",LEFT('S.01.01.01'!$D$71,8)="Reported",LEFT('S.01.01.07'!$D$67,8)="Reported",LEFT('S.01.01.08'!$D$26,8)="Reported",LEFT('SE.01.01.16'!$D$71,8)="Reported",LEFT('SE.01.01.17'!$D$26,8)="Reported",LEFT('SE.01.01.18'!$D$67,8)="Reported",LEFT('SE.01.01.19'!$D$26,8)="Reported")),"/","!")</f>
        <v>!</v>
      </c>
      <c r="C159" t="s">
        <v>511</v>
      </c>
      <c r="D159" t="s">
        <v>511</v>
      </c>
      <c r="G159" t="s">
        <v>511</v>
      </c>
      <c r="H159" t="s">
        <v>511</v>
      </c>
      <c r="O159" t="s">
        <v>511</v>
      </c>
      <c r="P159" t="s">
        <v>511</v>
      </c>
      <c r="Q159" t="s">
        <v>511</v>
      </c>
      <c r="R159" t="s">
        <v>511</v>
      </c>
      <c r="T159" t="s">
        <v>511</v>
      </c>
    </row>
    <row r="160" spans="1:20">
      <c r="A160" s="34" t="s">
        <v>747</v>
      </c>
      <c r="B160" t="str">
        <f>IF(AND(HLOOKUP('General data'!$E$22,$C$1:$V$160,160,FALSE)="X",OR(LEFT('S.01.01.02'!$D$27,8)="Reported",LEFT('S.01.01.01'!$D$72,8)="Reported",LEFT('S.01.01.07'!$D$68,8)="Reported",LEFT('S.01.01.08'!$D$27,8)="Reported",LEFT('SE.01.01.16'!$D$72,8)="Reported",LEFT('SE.01.01.17'!$D$27,8)="Reported",LEFT('SE.01.01.18'!$D$68,8)="Reported",LEFT('SE.01.01.19'!$D$27,8)="Reported")),"/","!")</f>
        <v>!</v>
      </c>
      <c r="C160" t="s">
        <v>511</v>
      </c>
      <c r="D160" t="s">
        <v>511</v>
      </c>
      <c r="G160" t="s">
        <v>511</v>
      </c>
      <c r="H160" t="s">
        <v>511</v>
      </c>
      <c r="O160" t="s">
        <v>511</v>
      </c>
      <c r="P160" t="s">
        <v>511</v>
      </c>
      <c r="Q160" t="s">
        <v>511</v>
      </c>
      <c r="R160" t="s">
        <v>511</v>
      </c>
      <c r="T160" t="s">
        <v>511</v>
      </c>
    </row>
    <row r="161" spans="1:21">
      <c r="A161" s="34" t="s">
        <v>749</v>
      </c>
      <c r="B161" t="str">
        <f>IF(AND(HLOOKUP('General data'!$E$22,$C$1:$V$161,161,FALSE)="X",OR(LEFT('SE.01.01.16'!$D$73,8)="Reported",LEFT('S.01.01.01'!$D$73,8)="Reported")),"/","!")</f>
        <v>!</v>
      </c>
      <c r="C161" t="s">
        <v>511</v>
      </c>
      <c r="O161" t="s">
        <v>511</v>
      </c>
    </row>
    <row r="162" spans="1:21">
      <c r="A162" s="34" t="s">
        <v>751</v>
      </c>
      <c r="B162" t="str">
        <f>IF(AND(HLOOKUP('General data'!$E$22,$C$1:$V$162,162,FALSE)="X",OR(LEFT('SE.01.01.18'!$D$69,8)="Reported",LEFT('S.01.01.07'!$D$69,8)="Reported")),"/","!")</f>
        <v>!</v>
      </c>
      <c r="G162" t="s">
        <v>511</v>
      </c>
      <c r="Q162" t="s">
        <v>511</v>
      </c>
    </row>
    <row r="163" spans="1:21">
      <c r="A163" s="34" t="s">
        <v>753</v>
      </c>
      <c r="B163" t="str">
        <f>IF(AND(HLOOKUP('General data'!$E$22,$C$1:$V$163,163,FALSE)="X",OR(LEFT('S.01.01.07'!$D$70,8)="Reported",LEFT('S.01.01.01'!$D$74,8)="Reported",LEFT('SE.01.01.16'!$D$74,8)="Reported",LEFT('SE.01.01.18'!$D$70,8)="Reported")),"/","!")</f>
        <v>!</v>
      </c>
      <c r="C163" t="s">
        <v>511</v>
      </c>
      <c r="G163" t="s">
        <v>511</v>
      </c>
      <c r="O163" t="s">
        <v>511</v>
      </c>
      <c r="Q163" t="s">
        <v>511</v>
      </c>
    </row>
    <row r="164" spans="1:21">
      <c r="A164" s="34" t="s">
        <v>755</v>
      </c>
      <c r="B164" t="str">
        <f>IF(AND(HLOOKUP('General data'!$E$22,$C$1:$V$164,164,FALSE)="X",OR(LEFT('S.01.01.07'!$D$71,8)="Reported",LEFT('S.01.01.01'!$D$75,8)="Reported",LEFT('SE.01.01.16'!$D$75,8)="Reported",LEFT('SE.01.01.18'!$D$71,8)="Reported")),"/","!")</f>
        <v>!</v>
      </c>
      <c r="C164" t="s">
        <v>511</v>
      </c>
      <c r="G164" t="s">
        <v>511</v>
      </c>
      <c r="O164" t="s">
        <v>511</v>
      </c>
      <c r="Q164" t="s">
        <v>511</v>
      </c>
    </row>
    <row r="165" spans="1:21">
      <c r="A165" s="34" t="s">
        <v>757</v>
      </c>
      <c r="B165" t="str">
        <f>IF(AND(HLOOKUP('General data'!$E$22,$C$1:$V$165,165,FALSE)="X",OR(LEFT('S.01.01.07'!$D$72,8)="Reported",LEFT('S.01.01.01'!$D$76,8)="Reported",LEFT('SE.01.01.16'!$D$76,8)="Reported",LEFT('SE.01.01.18'!$D$72,8)="Reported")),"/","!")</f>
        <v>!</v>
      </c>
      <c r="C165" t="s">
        <v>511</v>
      </c>
      <c r="G165" t="s">
        <v>511</v>
      </c>
      <c r="O165" t="s">
        <v>511</v>
      </c>
      <c r="Q165" t="s">
        <v>511</v>
      </c>
    </row>
    <row r="166" spans="1:21">
      <c r="A166" s="34" t="s">
        <v>759</v>
      </c>
      <c r="B166" t="str">
        <f>IF(AND(HLOOKUP('General data'!$E$22,$C$1:$V$166,166,FALSE)="X",OR(LEFT('S.01.01.07'!$D$73,8)="Reported",LEFT('S.01.01.01'!$D$77,8)="Reported",LEFT('SE.01.01.16'!$D$77,8)="Reported",LEFT('SE.01.01.18'!$D$73,8)="Reported")),"/","!")</f>
        <v>!</v>
      </c>
      <c r="C166" t="s">
        <v>511</v>
      </c>
      <c r="G166" t="s">
        <v>511</v>
      </c>
      <c r="O166" t="s">
        <v>511</v>
      </c>
      <c r="Q166" t="s">
        <v>511</v>
      </c>
    </row>
    <row r="167" spans="1:21">
      <c r="A167" s="34" t="s">
        <v>761</v>
      </c>
      <c r="B167" t="str">
        <f>IF(AND(HLOOKUP('General data'!$E$22,$C$1:$V$167,167,FALSE)="X",OR(LEFT('S.01.01.07'!$D$74,8)="Reported",LEFT('S.01.01.01'!$D$78,8)="Reported",LEFT('SE.01.01.16'!$D$78,8)="Reported",LEFT('SE.01.01.18'!$D$74,8)="Reported")),"/","!")</f>
        <v>!</v>
      </c>
      <c r="C167" t="s">
        <v>511</v>
      </c>
      <c r="G167" t="s">
        <v>511</v>
      </c>
      <c r="O167" t="s">
        <v>511</v>
      </c>
      <c r="Q167" t="s">
        <v>511</v>
      </c>
    </row>
    <row r="168" spans="1:21">
      <c r="A168" s="34" t="s">
        <v>763</v>
      </c>
      <c r="B168" t="str">
        <f>IF(AND(HLOOKUP('General data'!$E$22,$C$1:$V$168,168,FALSE)="X",OR(LEFT('S.01.01.07'!$D$75,8)="Reported",LEFT('S.01.01.01'!$D$79,8)="Reported",LEFT('SE.01.01.16'!$D$79,8)="Reported",LEFT('SE.01.01.18'!$D$75,8)="Reported")),"/","!")</f>
        <v>!</v>
      </c>
      <c r="C168" t="s">
        <v>511</v>
      </c>
      <c r="G168" t="s">
        <v>511</v>
      </c>
      <c r="O168" t="s">
        <v>511</v>
      </c>
      <c r="Q168" t="s">
        <v>511</v>
      </c>
    </row>
    <row r="169" spans="1:21">
      <c r="A169" s="34" t="s">
        <v>765</v>
      </c>
      <c r="B169" t="str">
        <f>IF(AND(HLOOKUP('General data'!$E$22,$C$1:$V$169,169,FALSE)="X",OR(LEFT('S.01.01.07'!$D$76,8)="Reported",LEFT('S.01.01.01'!$D$80,8)="Reported",LEFT('SE.01.01.16'!$D$80,8)="Reported",LEFT('SE.01.01.18'!$D$76,8)="Reported")),"/","!")</f>
        <v>!</v>
      </c>
      <c r="C169" t="s">
        <v>511</v>
      </c>
      <c r="G169" t="s">
        <v>511</v>
      </c>
      <c r="O169" t="s">
        <v>511</v>
      </c>
      <c r="Q169" t="s">
        <v>511</v>
      </c>
    </row>
    <row r="170" spans="1:21">
      <c r="A170" s="34" t="s">
        <v>767</v>
      </c>
      <c r="B170" t="str">
        <f>IF(AND(HLOOKUP('General data'!$E$22,$C$1:$V$170,170,FALSE)="X",OR(LEFT('S.01.01.07'!$D$77,8)="Reported",LEFT('S.01.01.01'!$D$81,8)="Reported",LEFT('SE.01.01.16'!$D$81,8)="Reported",LEFT('SE.01.01.18'!$D$77,8)="Reported")),"/","!")</f>
        <v>!</v>
      </c>
      <c r="C170" t="s">
        <v>511</v>
      </c>
      <c r="G170" t="s">
        <v>511</v>
      </c>
      <c r="O170" t="s">
        <v>511</v>
      </c>
      <c r="Q170" t="s">
        <v>511</v>
      </c>
    </row>
    <row r="171" spans="1:21">
      <c r="A171" s="34" t="s">
        <v>769</v>
      </c>
      <c r="B171" t="str">
        <f>IF(AND(HLOOKUP('General data'!$E$22,$C$1:$V$171,171,FALSE)="X",LEFT('S.01.01.04'!$D$52,8)="Reported"),"/","!")</f>
        <v>!</v>
      </c>
      <c r="E171" t="s">
        <v>511</v>
      </c>
    </row>
    <row r="172" spans="1:21">
      <c r="A172" s="34" t="s">
        <v>770</v>
      </c>
      <c r="B172" t="str">
        <f>IF(AND(HLOOKUP('General data'!$E$22,$C$1:$V$172,172,FALSE)="X",OR(LEFT('S.01.01.07'!$D$78,8)="Reported",LEFT('S.01.01.01'!$D$82,8)="Reported",LEFT('SE.01.01.16'!$D$82,8)="Reported",LEFT('SE.01.01.18'!$D$78,8)="Reported")),"/","!")</f>
        <v>!</v>
      </c>
      <c r="C172" t="s">
        <v>511</v>
      </c>
      <c r="G172" t="s">
        <v>511</v>
      </c>
      <c r="O172" t="s">
        <v>511</v>
      </c>
      <c r="Q172" t="s">
        <v>511</v>
      </c>
    </row>
    <row r="173" spans="1:21">
      <c r="A173" s="34" t="s">
        <v>772</v>
      </c>
      <c r="B173" t="str">
        <f>IF(AND(HLOOKUP('General data'!$E$22,$C$1:$V$173,173,FALSE)="X",LEFT('S.01.01.04'!$D$53,8)="Reported"),"/","!")</f>
        <v>!</v>
      </c>
      <c r="E173" t="s">
        <v>511</v>
      </c>
    </row>
    <row r="174" spans="1:21">
      <c r="A174" s="34" t="s">
        <v>773</v>
      </c>
      <c r="B174" t="str">
        <f>IF(AND(HLOOKUP('General data'!$E$22,$C$1:$V$174,174,FALSE)="X",LEFT('S.01.01.04'!$D$54,8)="Reported"),"/","!")</f>
        <v>!</v>
      </c>
      <c r="E174" t="s">
        <v>511</v>
      </c>
    </row>
    <row r="175" spans="1:21">
      <c r="A175" s="34" t="s">
        <v>775</v>
      </c>
      <c r="B175" t="str">
        <f>IF(AND(HLOOKUP('General data'!$E$22,$C$1:$V$175,175,FALSE)="X",Index!D179="Reported"),"/","!")</f>
        <v>!</v>
      </c>
      <c r="U175" t="s">
        <v>511</v>
      </c>
    </row>
    <row r="176" spans="1:21">
      <c r="A176" s="34" t="s">
        <v>776</v>
      </c>
      <c r="B176" t="str">
        <f>IF(AND(HLOOKUP('General data'!$E$22,$C$1:$V$176,176,FALSE)="X",LEFT('S.01.01.04'!$D$55,8)="Reported"),"/","!")</f>
        <v>!</v>
      </c>
      <c r="E176" t="s">
        <v>511</v>
      </c>
    </row>
    <row r="177" spans="1:19">
      <c r="A177" s="34" t="s">
        <v>778</v>
      </c>
      <c r="B177" t="str">
        <f>IF(AND(HLOOKUP('General data'!$E$22,$C$1:$V$177,177,FALSE)="X",LEFT('S.01.01.04'!$D$56,8)="Reported"),"/","!")</f>
        <v>!</v>
      </c>
      <c r="E177" t="s">
        <v>511</v>
      </c>
    </row>
    <row r="178" spans="1:19">
      <c r="A178" s="34" t="s">
        <v>780</v>
      </c>
      <c r="B178" t="str">
        <f>IF(AND(HLOOKUP('General data'!$E$22,$C$1:$V$178,178,FALSE)="X",LEFT('S.01.01.04'!$D$57,8)="Reported"),"/","!")</f>
        <v>!</v>
      </c>
      <c r="E178" t="s">
        <v>511</v>
      </c>
    </row>
    <row r="179" spans="1:19">
      <c r="A179" s="34" t="s">
        <v>782</v>
      </c>
      <c r="B179" t="str">
        <f>IF(AND(HLOOKUP('General data'!$E$22,$C$1:$V$179,179,FALSE)="X",OR(LEFT('S.01.01.04'!$D$58,8)="Reported",LEFT('S.01.01.01'!$D$83,8)="Reported",LEFT('SE.01.01.16'!$D$83,8)="Reported")),"/","!")</f>
        <v>!</v>
      </c>
      <c r="C179" t="s">
        <v>511</v>
      </c>
      <c r="E179" t="s">
        <v>511</v>
      </c>
      <c r="O179" t="s">
        <v>511</v>
      </c>
    </row>
    <row r="180" spans="1:19">
      <c r="A180" s="34" t="s">
        <v>784</v>
      </c>
      <c r="B180" t="str">
        <f>IF(AND(HLOOKUP('General data'!$E$22,$C$1:$V$180,180,FALSE)="X",OR(LEFT('S.01.01.04'!$D$59,8)="Reported",LEFT('S.01.01.01'!$D$84,8)="Reported",LEFT('SE.01.01.16'!$D$84,8)="Reported")),"/","!")</f>
        <v>!</v>
      </c>
      <c r="C180" t="s">
        <v>511</v>
      </c>
      <c r="E180" t="s">
        <v>511</v>
      </c>
      <c r="O180" t="s">
        <v>511</v>
      </c>
    </row>
    <row r="181" spans="1:19">
      <c r="A181" s="34" t="s">
        <v>786</v>
      </c>
      <c r="B181" t="str">
        <f>IF(AND(HLOOKUP('General data'!$E$22,$C$1:$V$181,181,FALSE)="X",OR(LEFT('S.01.01.04'!$D$60,8)="Reported",LEFT('S.01.01.01'!$D$85,8)="Reported",LEFT('SE.01.01.16'!$D$85,8)="Reported")),"/","!")</f>
        <v>!</v>
      </c>
      <c r="C181" t="s">
        <v>511</v>
      </c>
      <c r="E181" t="s">
        <v>511</v>
      </c>
      <c r="O181" t="s">
        <v>511</v>
      </c>
    </row>
    <row r="182" spans="1:19">
      <c r="A182" s="34" t="s">
        <v>788</v>
      </c>
      <c r="B182" t="str">
        <f>IF(AND(HLOOKUP('General data'!$E$22,$C$1:$V$182,182,FALSE)="X",OR(LEFT('S.01.01.04'!$D$61,8)="Reported",LEFT('S.01.01.01'!$D$86,8)="Reported",LEFT('SE.01.01.16'!$D$86,8)="Reported")),"/","!")</f>
        <v>!</v>
      </c>
      <c r="C182" t="s">
        <v>511</v>
      </c>
      <c r="E182" t="s">
        <v>511</v>
      </c>
      <c r="O182" t="s">
        <v>511</v>
      </c>
    </row>
    <row r="183" spans="1:19">
      <c r="A183" s="34" t="s">
        <v>790</v>
      </c>
      <c r="B183" t="str">
        <f>IF(AND(HLOOKUP('General data'!$E$22,$C$1:$V$183,183,FALSE)="X",LEFT('S.01.01.04'!$D$62,8)="Reported"),"/","!")</f>
        <v>!</v>
      </c>
      <c r="E183" t="s">
        <v>511</v>
      </c>
    </row>
    <row r="184" spans="1:19">
      <c r="A184" s="34" t="s">
        <v>792</v>
      </c>
      <c r="B184" t="str">
        <f>IF(AND(HLOOKUP('General data'!$E$22,$C$1:$V$184,184,FALSE)="X",OR(LEFT('S.01.01.12'!$D$18,8)="Reported",LEFT('S.01.01.10'!$D$18,8)="Reported",LEFT('S.01.01.14'!$D$18,8)="Reported")),"/","!")</f>
        <v>!</v>
      </c>
      <c r="I184" t="s">
        <v>511</v>
      </c>
      <c r="K184" t="s">
        <v>511</v>
      </c>
      <c r="M184" t="s">
        <v>511</v>
      </c>
    </row>
    <row r="185" spans="1:19">
      <c r="A185" s="34" t="s">
        <v>794</v>
      </c>
      <c r="B185" t="str">
        <f>IF(AND(HLOOKUP('General data'!$E$22,$C$1:$V$185,185,FALSE)="X",OR(LEFT('S.01.01.13'!$D$22,8)="Reported",LEFT('S.01.01.11'!$D$18,8)="Reported",LEFT('S.01.01.15'!$D$18,8)="Reported")),"/","!")</f>
        <v>!</v>
      </c>
      <c r="J185" t="s">
        <v>511</v>
      </c>
      <c r="L185" t="s">
        <v>511</v>
      </c>
      <c r="N185" t="s">
        <v>511</v>
      </c>
    </row>
    <row r="186" spans="1:19">
      <c r="A186" s="34" t="s">
        <v>796</v>
      </c>
      <c r="B186" t="str">
        <f>IF(AND(HLOOKUP('General data'!$E$22,$C$1:$V$186,186,FALSE)="X",OR(LEFT('S.01.01.12'!$D$19,8)="Reported",LEFT('S.01.01.10'!$D$19,8)="Reported",LEFT('S.01.01.14'!$D$19,8)="Reported")),"/","!")</f>
        <v>!</v>
      </c>
      <c r="I186" t="s">
        <v>511</v>
      </c>
      <c r="K186" t="s">
        <v>511</v>
      </c>
      <c r="M186" t="s">
        <v>511</v>
      </c>
    </row>
    <row r="187" spans="1:19">
      <c r="A187" s="34" t="s">
        <v>798</v>
      </c>
      <c r="B187" t="str">
        <f>IF(AND(HLOOKUP('General data'!$E$22,$C$1:$V$187,187,FALSE)="X",OR(LEFT('S.01.01.13'!$D$23,8)="Reported",LEFT('S.01.01.11'!$D$19,8)="Reported",LEFT('S.01.01.15'!$D$19,8)="Reported")),"/","!")</f>
        <v>!</v>
      </c>
      <c r="J187" t="s">
        <v>511</v>
      </c>
      <c r="L187" t="s">
        <v>511</v>
      </c>
      <c r="N187" t="s">
        <v>511</v>
      </c>
    </row>
    <row r="188" spans="1:19">
      <c r="A188" s="34" t="s">
        <v>800</v>
      </c>
      <c r="B188" t="str">
        <f>IF(AND(HLOOKUP('General data'!$E$22,$C$1:$V$188,188,FALSE)="X",OR(LEFT('SE.01.01.17'!$D$28,8)="Reported",LEFT('SE.01.01.16'!$D$87,8)="Reported",LEFT('SE.01.01.18'!$D$79,8)="Reported",LEFT('SE.01.01.19'!$D$28,8)="Reported")),"/","!")</f>
        <v>!</v>
      </c>
      <c r="O188" t="s">
        <v>511</v>
      </c>
      <c r="P188" t="s">
        <v>511</v>
      </c>
      <c r="Q188" t="s">
        <v>511</v>
      </c>
      <c r="R188" t="s">
        <v>511</v>
      </c>
    </row>
    <row r="189" spans="1:19">
      <c r="A189" s="34" t="s">
        <v>802</v>
      </c>
      <c r="B189" t="str">
        <f>IF(AND(HLOOKUP('General data'!$E$22,$C$1:$V$189,189,FALSE)="X",OR(LEFT('SE.01.01.18'!$D$80,8)="Reported",LEFT('SE.01.01.16'!$D$88,8)="Reported")),"/","!")</f>
        <v>!</v>
      </c>
      <c r="O189" t="s">
        <v>511</v>
      </c>
      <c r="Q189" t="s">
        <v>511</v>
      </c>
    </row>
    <row r="190" spans="1:19">
      <c r="A190" s="34" t="s">
        <v>804</v>
      </c>
      <c r="B190" t="str">
        <f>IF(AND(HLOOKUP('General data'!$E$22,$C$1:$V$190,190,FALSE)="X",OR(LEFT('SE.01.01.18'!$D$81,8)="Reported",LEFT('SE.01.01.16'!$D$89,8)="Reported")),"/","!")</f>
        <v>!</v>
      </c>
      <c r="O190" t="s">
        <v>511</v>
      </c>
      <c r="Q190" t="s">
        <v>511</v>
      </c>
    </row>
    <row r="191" spans="1:19">
      <c r="A191" s="34" t="s">
        <v>805</v>
      </c>
      <c r="B191" t="str">
        <f>IF(HLOOKUP('General data'!$E$22,$C$1:$U$191,191,FALSE)="X","/","!")</f>
        <v>!</v>
      </c>
      <c r="S191" t="s">
        <v>511</v>
      </c>
    </row>
    <row r="192" spans="1:19">
      <c r="A192" s="34" t="s">
        <v>806</v>
      </c>
      <c r="B192" t="str">
        <f>IF(AND(HLOOKUP('General data'!$E$22,$C$1:$V$192,192,FALSE)="X",LEFT('SPV.01.01.20'!$D$16,8)="Reported"),"/","!")</f>
        <v>!</v>
      </c>
      <c r="S192" t="s">
        <v>511</v>
      </c>
    </row>
    <row r="193" spans="1:19">
      <c r="A193" s="34" t="s">
        <v>808</v>
      </c>
      <c r="B193" t="str">
        <f>IF(AND(HLOOKUP('General data'!$E$22,$C$1:$V$193,193,FALSE)="X",LEFT('SPV.01.01.20'!$D$17,8)="Reported"),"/","!")</f>
        <v>!</v>
      </c>
      <c r="S193" t="s">
        <v>511</v>
      </c>
    </row>
    <row r="194" spans="1:19">
      <c r="A194" s="34" t="s">
        <v>809</v>
      </c>
      <c r="B194" t="str">
        <f>IF(AND(HLOOKUP('General data'!$E$22,$C$1:$V$194,194,FALSE)="X",LEFT('SPV.01.01.20'!$D$18,8)="Reported"),"/","!")</f>
        <v>!</v>
      </c>
      <c r="S194" t="s">
        <v>511</v>
      </c>
    </row>
    <row r="195" spans="1:19">
      <c r="A195" s="34" t="s">
        <v>811</v>
      </c>
      <c r="B195" t="str">
        <f>IF(AND(HLOOKUP('General data'!$E$22,$C$1:$V$195,195,FALSE)="X",LEFT('SPV.01.01.20'!$D$19,8)="Reported"),"/","!")</f>
        <v>!</v>
      </c>
      <c r="S195" t="s">
        <v>511</v>
      </c>
    </row>
    <row r="196" spans="1:19">
      <c r="A196" s="34" t="s">
        <v>813</v>
      </c>
      <c r="B196" t="str">
        <f>IF(AND(HLOOKUP('General data'!$E$22,$C$1:$V$196,196,FALSE)="X",LEFT('SPV.01.01.20'!$D$20,8)="Reported"),"/","!")</f>
        <v>!</v>
      </c>
      <c r="S196" t="s">
        <v>511</v>
      </c>
    </row>
    <row r="197" spans="1:19">
      <c r="A197" s="34" t="s">
        <v>814</v>
      </c>
      <c r="B197" t="str">
        <f>IF(AND(HLOOKUP('General data'!$E$22,$C$1:$V$197,197,FALSE)="X",Index!D201="Reported"),"/","!")</f>
        <v>!</v>
      </c>
      <c r="C197" t="s">
        <v>511</v>
      </c>
      <c r="D197" t="s">
        <v>511</v>
      </c>
      <c r="E197" t="s">
        <v>511</v>
      </c>
      <c r="F197" t="s">
        <v>511</v>
      </c>
      <c r="G197" t="s">
        <v>511</v>
      </c>
      <c r="H197" t="s">
        <v>511</v>
      </c>
      <c r="I197" t="s">
        <v>511</v>
      </c>
      <c r="J197" t="s">
        <v>511</v>
      </c>
      <c r="K197" t="s">
        <v>511</v>
      </c>
      <c r="L197" t="s">
        <v>511</v>
      </c>
      <c r="M197" t="s">
        <v>511</v>
      </c>
      <c r="N197" t="s">
        <v>511</v>
      </c>
      <c r="O197" t="s">
        <v>511</v>
      </c>
      <c r="P197" t="s">
        <v>511</v>
      </c>
      <c r="Q197" t="s">
        <v>511</v>
      </c>
      <c r="R197" t="s">
        <v>511</v>
      </c>
      <c r="S197" t="s">
        <v>511</v>
      </c>
    </row>
    <row r="198" spans="1:19">
      <c r="A198" t="str">
        <f>IF(AND(LEFT('S.01.01.01'!$D$16,8)&lt;&gt;"Reported",'S.01.01.01'!$D$16&lt;&gt;""),Show!$B$2 &amp; "S.01.02.01.01 Rows{Z}@ForceFilingCode:false","")</f>
        <v/>
      </c>
      <c r="B198" t="str">
        <f>IF(AND(LEFT('S.01.01.01'!$D$16,8)&lt;&gt;"Reported",'S.01.01.01'!$D$16&lt;&gt;""),Show!$B$2&amp; Show!$B$2&amp;"S.01.02.01.01 Rows{Z}@ForceFilingCode:false","")</f>
        <v/>
      </c>
    </row>
    <row r="199" spans="1:19">
      <c r="A199" t="str">
        <f>IF(AND(LEFT('S.01.01.01'!$D$17,8)&lt;&gt;"Reported",'S.01.01.01'!$D$17&lt;&gt;""),Show!$B$2 &amp; "S.01.03.01.01 Rows{Z}@ForceFilingCode:false","")</f>
        <v/>
      </c>
      <c r="B199" t="str">
        <f>IF(AND(LEFT('S.01.01.01'!$D$17,8)&lt;&gt;"Reported",'S.01.01.01'!$D$17&lt;&gt;""),Show!$B$2&amp; Show!$B$2&amp;"S.01.03.01.01 Rows{Z}@ForceFilingCode:false","")</f>
        <v/>
      </c>
    </row>
    <row r="200" spans="1:19">
      <c r="A200" t="str">
        <f>IF(AND(LEFT('S.01.01.01'!$D$17,8)&lt;&gt;"Reported",'S.01.01.01'!$D$17&lt;&gt;""),Show!$B$2 &amp; "S.01.03.01.02 Rows{Z}@ForceFilingCode:false","")</f>
        <v/>
      </c>
      <c r="B200" t="str">
        <f>IF(AND(LEFT('S.01.01.01'!$D$17,8)&lt;&gt;"Reported",'S.01.01.01'!$D$17&lt;&gt;""),Show!$B$2&amp; Show!$B$2&amp;"S.01.03.01.02 Rows{Z}@ForceFilingCode:false","")</f>
        <v/>
      </c>
    </row>
    <row r="201" spans="1:19">
      <c r="A201" t="str">
        <f>IF(AND(LEFT('S.01.01.01'!$D$18,8)&lt;&gt;"Reported",'S.01.01.01'!$D$18&lt;&gt;""),Show!$B$2 &amp; "S.02.01.01.01 Rows{Z}@ForceFilingCode:false","")</f>
        <v/>
      </c>
      <c r="B201" t="str">
        <f>IF(AND(LEFT('S.01.01.01'!$D$18,8)&lt;&gt;"Reported",'S.01.01.01'!$D$18&lt;&gt;""),Show!$B$2&amp; Show!$B$2&amp;"S.02.01.01.01 Rows{Z}@ForceFilingCode:false","")</f>
        <v/>
      </c>
    </row>
    <row r="202" spans="1:19">
      <c r="A202" t="str">
        <f>IF(AND(LEFT('S.01.01.01'!$D$19,8)&lt;&gt;"Reported",'S.01.01.01'!$D$19&lt;&gt;""),Show!$B$2 &amp; "S.02.02.01.01 Rows{Z}@ForceFilingCode:false","")</f>
        <v/>
      </c>
      <c r="B202" t="str">
        <f>IF(AND(LEFT('S.01.01.01'!$D$19,8)&lt;&gt;"Reported",'S.01.01.01'!$D$19&lt;&gt;""),Show!$B$2&amp; Show!$B$2&amp;"S.02.02.01.01 Rows{Z}@ForceFilingCode:false","")</f>
        <v/>
      </c>
    </row>
    <row r="203" spans="1:19">
      <c r="A203" t="str">
        <f>IF(AND(LEFT('S.01.01.01'!$D$19,8)&lt;&gt;"Reported",'S.01.01.01'!$D$19&lt;&gt;""),Show!$B$2 &amp; "S.02.02.01.02 Rows{Z}@ForceFilingCode:false","")</f>
        <v/>
      </c>
      <c r="B203" t="str">
        <f>IF(AND(LEFT('S.01.01.01'!$D$19,8)&lt;&gt;"Reported",'S.01.01.01'!$D$19&lt;&gt;""),Show!$B$2&amp; Show!$B$2&amp;"S.02.02.01.02 Rows{Z}@ForceFilingCode:false","")</f>
        <v/>
      </c>
    </row>
    <row r="204" spans="1:19">
      <c r="A204" t="str">
        <f>IF(AND(LEFT('S.01.01.01'!$D$20,8)&lt;&gt;"Reported",'S.01.01.01'!$D$20&lt;&gt;""),Show!$B$2 &amp; "S.03.01.01.01 Rows{Z}@ForceFilingCode:false","")</f>
        <v/>
      </c>
      <c r="B204" t="str">
        <f>IF(AND(LEFT('S.01.01.01'!$D$20,8)&lt;&gt;"Reported",'S.01.01.01'!$D$20&lt;&gt;""),Show!$B$2&amp; Show!$B$2&amp;"S.03.01.01.01 Rows{Z}@ForceFilingCode:false","")</f>
        <v/>
      </c>
    </row>
    <row r="205" spans="1:19">
      <c r="A205" t="str">
        <f>IF(AND(LEFT('S.01.01.01'!$D$20,8)&lt;&gt;"Reported",'S.01.01.01'!$D$20&lt;&gt;""),Show!$B$2 &amp; "S.03.01.01.02 Rows{Z}@ForceFilingCode:false","")</f>
        <v/>
      </c>
      <c r="B205" t="str">
        <f>IF(AND(LEFT('S.01.01.01'!$D$20,8)&lt;&gt;"Reported",'S.01.01.01'!$D$20&lt;&gt;""),Show!$B$2&amp; Show!$B$2&amp;"S.03.01.01.02 Rows{Z}@ForceFilingCode:false","")</f>
        <v/>
      </c>
    </row>
    <row r="206" spans="1:19">
      <c r="A206" t="str">
        <f>IF(AND(LEFT('S.01.01.01'!$D$21,8)&lt;&gt;"Reported",'S.01.01.01'!$D$21&lt;&gt;""),Show!$B$2 &amp; "S.03.02.01.01 Rows{Z}@ForceFilingCode:false","")</f>
        <v/>
      </c>
      <c r="B206" t="str">
        <f>IF(AND(LEFT('S.01.01.01'!$D$21,8)&lt;&gt;"Reported",'S.01.01.01'!$D$21&lt;&gt;""),Show!$B$2&amp; Show!$B$2&amp;"S.03.02.01.01 Rows{Z}@ForceFilingCode:false","")</f>
        <v/>
      </c>
    </row>
    <row r="207" spans="1:19">
      <c r="A207" t="str">
        <f>IF(AND(LEFT('S.01.01.01'!$D$22,8)&lt;&gt;"Reported",'S.01.01.01'!$D$22&lt;&gt;""),Show!$B$2 &amp; "S.03.03.01.01 Rows{Z}@ForceFilingCode:false","")</f>
        <v/>
      </c>
      <c r="B207" t="str">
        <f>IF(AND(LEFT('S.01.01.01'!$D$22,8)&lt;&gt;"Reported",'S.01.01.01'!$D$22&lt;&gt;""),Show!$B$2&amp; Show!$B$2&amp;"S.03.03.01.01 Rows{Z}@ForceFilingCode:false","")</f>
        <v/>
      </c>
    </row>
    <row r="208" spans="1:19">
      <c r="A208" t="str">
        <f>IF(AND(LEFT('S.01.01.01'!$D$23,8)&lt;&gt;"Reported",'S.01.01.01'!$D$23&lt;&gt;""),Show!$B$2 &amp; "S.04.01.01.01 Rows{Z}@ForceFilingCode:false","")</f>
        <v/>
      </c>
      <c r="B208" t="str">
        <f>IF(AND(LEFT('S.01.01.01'!$D$23,8)&lt;&gt;"Reported",'S.01.01.01'!$D$23&lt;&gt;""),Show!$B$2&amp; Show!$B$2&amp;"S.04.01.01.01 Rows{Z}@ForceFilingCode:false","")</f>
        <v/>
      </c>
    </row>
    <row r="209" spans="1:2">
      <c r="A209" t="str">
        <f>IF(AND(LEFT('S.01.01.01'!$D$23,8)&lt;&gt;"Reported",'S.01.01.01'!$D$23&lt;&gt;""),Show!$B$2 &amp; "S.04.01.01.02 Rows{Z}@ForceFilingCode:false","")</f>
        <v/>
      </c>
      <c r="B209" t="str">
        <f>IF(AND(LEFT('S.01.01.01'!$D$23,8)&lt;&gt;"Reported",'S.01.01.01'!$D$23&lt;&gt;""),Show!$B$2&amp; Show!$B$2&amp;"S.04.01.01.02 Rows{Z}@ForceFilingCode:false","")</f>
        <v/>
      </c>
    </row>
    <row r="210" spans="1:2">
      <c r="A210" t="str">
        <f>IF(AND(LEFT('S.01.01.01'!$D$23,8)&lt;&gt;"Reported",'S.01.01.01'!$D$23&lt;&gt;""),Show!$B$2 &amp; "S.04.01.01.03 Rows{Z}@ForceFilingCode:false","")</f>
        <v/>
      </c>
      <c r="B210" t="str">
        <f>IF(AND(LEFT('S.01.01.01'!$D$23,8)&lt;&gt;"Reported",'S.01.01.01'!$D$23&lt;&gt;""),Show!$B$2&amp; Show!$B$2&amp;"S.04.01.01.03 Rows{Z}@ForceFilingCode:false","")</f>
        <v/>
      </c>
    </row>
    <row r="211" spans="1:2">
      <c r="A211" t="str">
        <f>IF(AND(LEFT('S.01.01.01'!$D$23,8)&lt;&gt;"Reported",'S.01.01.01'!$D$23&lt;&gt;""),Show!$B$2 &amp; "S.04.01.01.04 Rows{Z}@ForceFilingCode:false","")</f>
        <v/>
      </c>
      <c r="B211" t="str">
        <f>IF(AND(LEFT('S.01.01.01'!$D$23,8)&lt;&gt;"Reported",'S.01.01.01'!$D$23&lt;&gt;""),Show!$B$2&amp; Show!$B$2&amp;"S.04.01.01.04 Rows{Z}@ForceFilingCode:false","")</f>
        <v/>
      </c>
    </row>
    <row r="212" spans="1:2">
      <c r="A212" t="str">
        <f>IF(AND(LEFT('S.01.01.01'!$D$24,8)&lt;&gt;"Reported",'S.01.01.01'!$D$24&lt;&gt;""),Show!$B$2 &amp; "S.04.02.01.01 Rows{Z}@ForceFilingCode:false","")</f>
        <v/>
      </c>
      <c r="B212" t="str">
        <f>IF(AND(LEFT('S.01.01.01'!$D$24,8)&lt;&gt;"Reported",'S.01.01.01'!$D$24&lt;&gt;""),Show!$B$2&amp; Show!$B$2&amp;"S.04.02.01.01 Rows{Z}@ForceFilingCode:false","")</f>
        <v/>
      </c>
    </row>
    <row r="213" spans="1:2">
      <c r="A213" t="str">
        <f>IF(AND(LEFT('S.01.01.01'!$D$24,8)&lt;&gt;"Reported",'S.01.01.01'!$D$24&lt;&gt;""),Show!$B$2 &amp; "S.04.02.01.02 Rows{Z}@ForceFilingCode:false","")</f>
        <v/>
      </c>
      <c r="B213" t="str">
        <f>IF(AND(LEFT('S.01.01.01'!$D$24,8)&lt;&gt;"Reported",'S.01.01.01'!$D$24&lt;&gt;""),Show!$B$2&amp; Show!$B$2&amp;"S.04.02.01.02 Rows{Z}@ForceFilingCode:false","")</f>
        <v/>
      </c>
    </row>
    <row r="214" spans="1:2">
      <c r="A214" t="str">
        <f>IF(AND(LEFT('S.01.01.01'!$D$25,8)&lt;&gt;"Reported",'S.01.01.01'!$D$25&lt;&gt;""),Show!$B$2 &amp; "S.05.01.01.01 Rows{Z}@ForceFilingCode:false","")</f>
        <v/>
      </c>
      <c r="B214" t="str">
        <f>IF(AND(LEFT('S.01.01.01'!$D$25,8)&lt;&gt;"Reported",'S.01.01.01'!$D$25&lt;&gt;""),Show!$B$2&amp; Show!$B$2&amp;"S.05.01.01.01 Rows{Z}@ForceFilingCode:false","")</f>
        <v/>
      </c>
    </row>
    <row r="215" spans="1:2">
      <c r="A215" t="str">
        <f>IF(AND(LEFT('S.01.01.01'!$D$25,8)&lt;&gt;"Reported",'S.01.01.01'!$D$25&lt;&gt;""),Show!$B$2 &amp; "S.05.01.01.02 Rows{Z}@ForceFilingCode:false","")</f>
        <v/>
      </c>
      <c r="B215" t="str">
        <f>IF(AND(LEFT('S.01.01.01'!$D$25,8)&lt;&gt;"Reported",'S.01.01.01'!$D$25&lt;&gt;""),Show!$B$2&amp; Show!$B$2&amp;"S.05.01.01.02 Rows{Z}@ForceFilingCode:false","")</f>
        <v/>
      </c>
    </row>
    <row r="216" spans="1:2">
      <c r="A216" t="str">
        <f>IF(AND(LEFT('S.01.01.01'!$D$26,8)&lt;&gt;"Reported",'S.01.01.01'!$D$26&lt;&gt;""),Show!$B$2 &amp; "S.05.02.01.01 Rows{Z}@ForceFilingCode:false","")</f>
        <v/>
      </c>
      <c r="B216" t="str">
        <f>IF(AND(LEFT('S.01.01.01'!$D$26,8)&lt;&gt;"Reported",'S.01.01.01'!$D$26&lt;&gt;""),Show!$B$2&amp; Show!$B$2&amp;"S.05.02.01.01 Rows{Z}@ForceFilingCode:false","")</f>
        <v/>
      </c>
    </row>
    <row r="217" spans="1:2">
      <c r="A217" t="str">
        <f>IF(AND(LEFT('S.01.01.01'!$D$26,8)&lt;&gt;"Reported",'S.01.01.01'!$D$26&lt;&gt;""),Show!$B$2 &amp; "S.05.02.01.02 Rows{Z}@ForceFilingCode:false","")</f>
        <v/>
      </c>
      <c r="B217" t="str">
        <f>IF(AND(LEFT('S.01.01.01'!$D$26,8)&lt;&gt;"Reported",'S.01.01.01'!$D$26&lt;&gt;""),Show!$B$2&amp; Show!$B$2&amp;"S.05.02.01.02 Rows{Z}@ForceFilingCode:false","")</f>
        <v/>
      </c>
    </row>
    <row r="218" spans="1:2">
      <c r="A218" t="str">
        <f>IF(AND(LEFT('S.01.01.01'!$D$26,8)&lt;&gt;"Reported",'S.01.01.01'!$D$26&lt;&gt;""),Show!$B$2 &amp; "S.05.02.01.03 Rows{Z}@ForceFilingCode:false","")</f>
        <v/>
      </c>
      <c r="B218" t="str">
        <f>IF(AND(LEFT('S.01.01.01'!$D$26,8)&lt;&gt;"Reported",'S.01.01.01'!$D$26&lt;&gt;""),Show!$B$2&amp; Show!$B$2&amp;"S.05.02.01.03 Rows{Z}@ForceFilingCode:false","")</f>
        <v/>
      </c>
    </row>
    <row r="219" spans="1:2">
      <c r="A219" t="str">
        <f>IF(AND(LEFT('S.01.01.01'!$D$26,8)&lt;&gt;"Reported",'S.01.01.01'!$D$26&lt;&gt;""),Show!$B$2 &amp; "S.05.02.01.04 Rows{Z}@ForceFilingCode:false","")</f>
        <v/>
      </c>
      <c r="B219" t="str">
        <f>IF(AND(LEFT('S.01.01.01'!$D$26,8)&lt;&gt;"Reported",'S.01.01.01'!$D$26&lt;&gt;""),Show!$B$2&amp; Show!$B$2&amp;"S.05.02.01.04 Rows{Z}@ForceFilingCode:false","")</f>
        <v/>
      </c>
    </row>
    <row r="220" spans="1:2">
      <c r="A220" t="str">
        <f>IF(AND(LEFT('S.01.01.01'!$D$26,8)&lt;&gt;"Reported",'S.01.01.01'!$D$26&lt;&gt;""),Show!$B$2 &amp; "S.05.02.01.05 Rows{Z}@ForceFilingCode:false","")</f>
        <v/>
      </c>
      <c r="B220" t="str">
        <f>IF(AND(LEFT('S.01.01.01'!$D$26,8)&lt;&gt;"Reported",'S.01.01.01'!$D$26&lt;&gt;""),Show!$B$2&amp; Show!$B$2&amp;"S.05.02.01.05 Rows{Z}@ForceFilingCode:false","")</f>
        <v/>
      </c>
    </row>
    <row r="221" spans="1:2">
      <c r="A221" t="str">
        <f>IF(AND(LEFT('S.01.01.01'!$D$26,8)&lt;&gt;"Reported",'S.01.01.01'!$D$26&lt;&gt;""),Show!$B$2 &amp; "S.05.02.01.06 Rows{Z}@ForceFilingCode:false","")</f>
        <v/>
      </c>
      <c r="B221" t="str">
        <f>IF(AND(LEFT('S.01.01.01'!$D$26,8)&lt;&gt;"Reported",'S.01.01.01'!$D$26&lt;&gt;""),Show!$B$2&amp; Show!$B$2&amp;"S.05.02.01.06 Rows{Z}@ForceFilingCode:false","")</f>
        <v/>
      </c>
    </row>
    <row r="222" spans="1:2">
      <c r="A222" t="str">
        <f>IF(AND(LEFT('S.01.01.01'!$D$27,8)&lt;&gt;"Reported",'S.01.01.01'!$D$27&lt;&gt;""),Show!$B$2 &amp; "S.06.01.01.01 Rows{Z}@ForceFilingCode:false","")</f>
        <v/>
      </c>
      <c r="B222" t="str">
        <f>IF(AND(LEFT('S.01.01.01'!$D$27,8)&lt;&gt;"Reported",'S.01.01.01'!$D$27&lt;&gt;""),Show!$B$2&amp; Show!$B$2&amp;"S.06.01.01.01 Rows{Z}@ForceFilingCode:false","")</f>
        <v/>
      </c>
    </row>
    <row r="223" spans="1:2">
      <c r="A223" t="str">
        <f>IF(AND(LEFT('S.01.01.01'!$D$28,8)&lt;&gt;"Reported",'S.01.01.01'!$D$28&lt;&gt;""),Show!$B$2 &amp; "S.06.02.01.01 Rows{Z}@ForceFilingCode:false","")</f>
        <v/>
      </c>
      <c r="B223" t="str">
        <f>IF(AND(LEFT('S.01.01.01'!$D$28,8)&lt;&gt;"Reported",'S.01.01.01'!$D$28&lt;&gt;""),Show!$B$2&amp; Show!$B$2&amp;"S.06.02.01.01 Rows{Z}@ForceFilingCode:false","")</f>
        <v/>
      </c>
    </row>
    <row r="224" spans="1:2">
      <c r="A224" t="str">
        <f>IF(AND(LEFT('S.01.01.01'!$D$28,8)&lt;&gt;"Reported",'S.01.01.01'!$D$28&lt;&gt;""),Show!$B$2 &amp; "S.06.02.01.02 Rows{Z}@ForceFilingCode:false","")</f>
        <v/>
      </c>
      <c r="B224" t="str">
        <f>IF(AND(LEFT('S.01.01.01'!$D$28,8)&lt;&gt;"Reported",'S.01.01.01'!$D$28&lt;&gt;""),Show!$B$2&amp; Show!$B$2&amp;"S.06.02.01.02 Rows{Z}@ForceFilingCode:false","")</f>
        <v/>
      </c>
    </row>
    <row r="225" spans="1:2">
      <c r="A225" t="str">
        <f>IF(AND(LEFT('S.01.01.01'!$D$29,8)&lt;&gt;"Reported",'S.01.01.01'!$D$29&lt;&gt;""),Show!$B$2 &amp; "S.06.03.01.01 Rows{Z}@ForceFilingCode:false","")</f>
        <v/>
      </c>
      <c r="B225" t="str">
        <f>IF(AND(LEFT('S.01.01.01'!$D$29,8)&lt;&gt;"Reported",'S.01.01.01'!$D$29&lt;&gt;""),Show!$B$2&amp; Show!$B$2&amp;"S.06.03.01.01 Rows{Z}@ForceFilingCode:false","")</f>
        <v/>
      </c>
    </row>
    <row r="226" spans="1:2">
      <c r="A226" t="str">
        <f>IF(AND(LEFT('S.01.01.01'!$D$30,8)&lt;&gt;"Reported",'S.01.01.01'!$D$30&lt;&gt;""),Show!$B$2 &amp; "S.07.01.01.01 Rows{Z}@ForceFilingCode:false","")</f>
        <v/>
      </c>
      <c r="B226" t="str">
        <f>IF(AND(LEFT('S.01.01.01'!$D$30,8)&lt;&gt;"Reported",'S.01.01.01'!$D$30&lt;&gt;""),Show!$B$2&amp; Show!$B$2&amp;"S.07.01.01.01 Rows{Z}@ForceFilingCode:false","")</f>
        <v/>
      </c>
    </row>
    <row r="227" spans="1:2">
      <c r="A227" t="str">
        <f>IF(AND(LEFT('S.01.01.01'!$D$31,8)&lt;&gt;"Reported",'S.01.01.01'!$D$31&lt;&gt;""),Show!$B$2 &amp; "S.08.01.01.01 Rows{Z}@ForceFilingCode:false","")</f>
        <v/>
      </c>
      <c r="B227" t="str">
        <f>IF(AND(LEFT('S.01.01.01'!$D$31,8)&lt;&gt;"Reported",'S.01.01.01'!$D$31&lt;&gt;""),Show!$B$2&amp; Show!$B$2&amp;"S.08.01.01.01 Rows{Z}@ForceFilingCode:false","")</f>
        <v/>
      </c>
    </row>
    <row r="228" spans="1:2">
      <c r="A228" t="str">
        <f>IF(AND(LEFT('S.01.01.01'!$D$31,8)&lt;&gt;"Reported",'S.01.01.01'!$D$31&lt;&gt;""),Show!$B$2 &amp; "S.08.01.01.02 Rows{Z}@ForceFilingCode:false","")</f>
        <v/>
      </c>
      <c r="B228" t="str">
        <f>IF(AND(LEFT('S.01.01.01'!$D$31,8)&lt;&gt;"Reported",'S.01.01.01'!$D$31&lt;&gt;""),Show!$B$2&amp; Show!$B$2&amp;"S.08.01.01.02 Rows{Z}@ForceFilingCode:false","")</f>
        <v/>
      </c>
    </row>
    <row r="229" spans="1:2">
      <c r="A229" t="str">
        <f>IF(AND(LEFT('S.01.01.01'!$D$32,8)&lt;&gt;"Reported",'S.01.01.01'!$D$32&lt;&gt;""),Show!$B$2 &amp; "S.08.02.01.01 Rows{Z}@ForceFilingCode:false","")</f>
        <v/>
      </c>
      <c r="B229" t="str">
        <f>IF(AND(LEFT('S.01.01.01'!$D$32,8)&lt;&gt;"Reported",'S.01.01.01'!$D$32&lt;&gt;""),Show!$B$2&amp; Show!$B$2&amp;"S.08.02.01.01 Rows{Z}@ForceFilingCode:false","")</f>
        <v/>
      </c>
    </row>
    <row r="230" spans="1:2">
      <c r="A230" t="str">
        <f>IF(AND(LEFT('S.01.01.01'!$D$32,8)&lt;&gt;"Reported",'S.01.01.01'!$D$32&lt;&gt;""),Show!$B$2 &amp; "S.08.02.01.02 Rows{Z}@ForceFilingCode:false","")</f>
        <v/>
      </c>
      <c r="B230" t="str">
        <f>IF(AND(LEFT('S.01.01.01'!$D$32,8)&lt;&gt;"Reported",'S.01.01.01'!$D$32&lt;&gt;""),Show!$B$2&amp; Show!$B$2&amp;"S.08.02.01.02 Rows{Z}@ForceFilingCode:false","")</f>
        <v/>
      </c>
    </row>
    <row r="231" spans="1:2">
      <c r="A231" t="str">
        <f>IF(AND(LEFT('S.01.01.01'!$D$33,8)&lt;&gt;"Reported",'S.01.01.01'!$D$33&lt;&gt;""),Show!$B$2 &amp; "S.09.01.01.01 Rows{Z}@ForceFilingCode:false","")</f>
        <v/>
      </c>
      <c r="B231" t="str">
        <f>IF(AND(LEFT('S.01.01.01'!$D$33,8)&lt;&gt;"Reported",'S.01.01.01'!$D$33&lt;&gt;""),Show!$B$2&amp; Show!$B$2&amp;"S.09.01.01.01 Rows{Z}@ForceFilingCode:false","")</f>
        <v/>
      </c>
    </row>
    <row r="232" spans="1:2">
      <c r="A232" t="str">
        <f>IF(AND(LEFT('S.01.01.01'!$D$34,8)&lt;&gt;"Reported",'S.01.01.01'!$D$34&lt;&gt;""),Show!$B$2 &amp; "S.10.01.01.01 Rows{Z}@ForceFilingCode:false","")</f>
        <v/>
      </c>
      <c r="B232" t="str">
        <f>IF(AND(LEFT('S.01.01.01'!$D$34,8)&lt;&gt;"Reported",'S.01.01.01'!$D$34&lt;&gt;""),Show!$B$2&amp; Show!$B$2&amp;"S.10.01.01.01 Rows{Z}@ForceFilingCode:false","")</f>
        <v/>
      </c>
    </row>
    <row r="233" spans="1:2">
      <c r="A233" t="str">
        <f>IF(AND(LEFT('S.01.01.01'!$D$35,8)&lt;&gt;"Reported",'S.01.01.01'!$D$35&lt;&gt;""),Show!$B$2 &amp; "S.11.01.01.01 Rows{Z}@ForceFilingCode:false","")</f>
        <v/>
      </c>
      <c r="B233" t="str">
        <f>IF(AND(LEFT('S.01.01.01'!$D$35,8)&lt;&gt;"Reported",'S.01.01.01'!$D$35&lt;&gt;""),Show!$B$2&amp; Show!$B$2&amp;"S.11.01.01.01 Rows{Z}@ForceFilingCode:false","")</f>
        <v/>
      </c>
    </row>
    <row r="234" spans="1:2">
      <c r="A234" t="str">
        <f>IF(AND(LEFT('S.01.01.01'!$D$35,8)&lt;&gt;"Reported",'S.01.01.01'!$D$35&lt;&gt;""),Show!$B$2 &amp; "S.11.01.01.02 Rows{Z}@ForceFilingCode:false","")</f>
        <v/>
      </c>
      <c r="B234" t="str">
        <f>IF(AND(LEFT('S.01.01.01'!$D$35,8)&lt;&gt;"Reported",'S.01.01.01'!$D$35&lt;&gt;""),Show!$B$2&amp; Show!$B$2&amp;"S.11.01.01.02 Rows{Z}@ForceFilingCode:false","")</f>
        <v/>
      </c>
    </row>
    <row r="235" spans="1:2">
      <c r="A235" t="str">
        <f>IF(AND(LEFT('S.01.01.01'!$D$36,8)&lt;&gt;"Reported",'S.01.01.01'!$D$36&lt;&gt;""),Show!$B$2 &amp; "S.12.01.01.01 Rows{Z}@ForceFilingCode:false","")</f>
        <v/>
      </c>
      <c r="B235" t="str">
        <f>IF(AND(LEFT('S.01.01.01'!$D$36,8)&lt;&gt;"Reported",'S.01.01.01'!$D$36&lt;&gt;""),Show!$B$2&amp; Show!$B$2&amp;"S.12.01.01.01 Rows{Z}@ForceFilingCode:false","")</f>
        <v/>
      </c>
    </row>
    <row r="236" spans="1:2">
      <c r="A236" t="str">
        <f>IF(AND(LEFT('S.01.01.01'!$D$37,8)&lt;&gt;"Reported",'S.01.01.01'!$D$37&lt;&gt;""),Show!$B$2 &amp; "S.12.02.01.01 Rows{Z}@ForceFilingCode:false","")</f>
        <v/>
      </c>
      <c r="B236" t="str">
        <f>IF(AND(LEFT('S.01.01.01'!$D$37,8)&lt;&gt;"Reported",'S.01.01.01'!$D$37&lt;&gt;""),Show!$B$2&amp; Show!$B$2&amp;"S.12.02.01.01 Rows{Z}@ForceFilingCode:false","")</f>
        <v/>
      </c>
    </row>
    <row r="237" spans="1:2">
      <c r="A237" t="str">
        <f>IF(AND(LEFT('S.01.01.01'!$D$37,8)&lt;&gt;"Reported",'S.01.01.01'!$D$37&lt;&gt;""),Show!$B$2 &amp; "S.12.02.01.02 Rows{Z}@ForceFilingCode:false","")</f>
        <v/>
      </c>
      <c r="B237" t="str">
        <f>IF(AND(LEFT('S.01.01.01'!$D$37,8)&lt;&gt;"Reported",'S.01.01.01'!$D$37&lt;&gt;""),Show!$B$2&amp; Show!$B$2&amp;"S.12.02.01.02 Rows{Z}@ForceFilingCode:false","")</f>
        <v/>
      </c>
    </row>
    <row r="238" spans="1:2">
      <c r="A238" t="str">
        <f>IF(AND(LEFT('S.01.01.01'!$D$38,8)&lt;&gt;"Reported",'S.01.01.01'!$D$38&lt;&gt;""),Show!$B$2 &amp; "S.13.01.01.01 Rows{Z}@ForceFilingCode:false","")</f>
        <v/>
      </c>
      <c r="B238" t="str">
        <f>IF(AND(LEFT('S.01.01.01'!$D$38,8)&lt;&gt;"Reported",'S.01.01.01'!$D$38&lt;&gt;""),Show!$B$2&amp; Show!$B$2&amp;"S.13.01.01.01 Rows{Z}@ForceFilingCode:false","")</f>
        <v/>
      </c>
    </row>
    <row r="239" spans="1:2">
      <c r="A239" t="str">
        <f>IF(AND(LEFT('S.01.01.01'!$D$39,8)&lt;&gt;"Reported",'S.01.01.01'!$D$39&lt;&gt;""),Show!$B$2 &amp; "S.14.01.01.01 Rows{Z}@ForceFilingCode:false","")</f>
        <v/>
      </c>
      <c r="B239" t="str">
        <f>IF(AND(LEFT('S.01.01.01'!$D$39,8)&lt;&gt;"Reported",'S.01.01.01'!$D$39&lt;&gt;""),Show!$B$2&amp; Show!$B$2&amp;"S.14.01.01.01 Rows{Z}@ForceFilingCode:false","")</f>
        <v/>
      </c>
    </row>
    <row r="240" spans="1:2">
      <c r="A240" t="str">
        <f>IF(AND(LEFT('S.01.01.01'!$D$39,8)&lt;&gt;"Reported",'S.01.01.01'!$D$39&lt;&gt;""),Show!$B$2 &amp; "S.14.01.01.02 Rows{Z}@ForceFilingCode:false","")</f>
        <v/>
      </c>
      <c r="B240" t="str">
        <f>IF(AND(LEFT('S.01.01.01'!$D$39,8)&lt;&gt;"Reported",'S.01.01.01'!$D$39&lt;&gt;""),Show!$B$2&amp; Show!$B$2&amp;"S.14.01.01.02 Rows{Z}@ForceFilingCode:false","")</f>
        <v/>
      </c>
    </row>
    <row r="241" spans="1:2">
      <c r="A241" t="str">
        <f>IF(AND(LEFT('S.01.01.01'!$D$39,8)&lt;&gt;"Reported",'S.01.01.01'!$D$39&lt;&gt;""),Show!$B$2 &amp; "S.14.01.01.03 Rows{Z}@ForceFilingCode:false","")</f>
        <v/>
      </c>
      <c r="B241" t="str">
        <f>IF(AND(LEFT('S.01.01.01'!$D$39,8)&lt;&gt;"Reported",'S.01.01.01'!$D$39&lt;&gt;""),Show!$B$2&amp; Show!$B$2&amp;"S.14.01.01.03 Rows{Z}@ForceFilingCode:false","")</f>
        <v/>
      </c>
    </row>
    <row r="242" spans="1:2">
      <c r="A242" t="str">
        <f>IF(AND(LEFT('S.01.01.01'!$D$39,8)&lt;&gt;"Reported",'S.01.01.01'!$D$39&lt;&gt;""),Show!$B$2 &amp; "S.14.01.01.04 Rows{Z}@ForceFilingCode:false","")</f>
        <v/>
      </c>
      <c r="B242" t="str">
        <f>IF(AND(LEFT('S.01.01.01'!$D$39,8)&lt;&gt;"Reported",'S.01.01.01'!$D$39&lt;&gt;""),Show!$B$2&amp; Show!$B$2&amp;"S.14.01.01.04 Rows{Z}@ForceFilingCode:false","")</f>
        <v/>
      </c>
    </row>
    <row r="243" spans="1:2">
      <c r="A243" t="str">
        <f>IF(AND(LEFT('S.01.01.01'!$D$40,8)&lt;&gt;"Reported",'S.01.01.01'!$D$40&lt;&gt;""),Show!$B$2 &amp; "S.15.01.01.01 Rows{Z}@ForceFilingCode:false","")</f>
        <v/>
      </c>
      <c r="B243" t="str">
        <f>IF(AND(LEFT('S.01.01.01'!$D$40,8)&lt;&gt;"Reported",'S.01.01.01'!$D$40&lt;&gt;""),Show!$B$2&amp; Show!$B$2&amp;"S.15.01.01.01 Rows{Z}@ForceFilingCode:false","")</f>
        <v/>
      </c>
    </row>
    <row r="244" spans="1:2">
      <c r="A244" t="str">
        <f>IF(AND(LEFT('S.01.01.01'!$D$41,8)&lt;&gt;"Reported",'S.01.01.01'!$D$41&lt;&gt;""),Show!$B$2 &amp; "S.15.02.01.01 Rows{Z}@ForceFilingCode:false","")</f>
        <v/>
      </c>
      <c r="B244" t="str">
        <f>IF(AND(LEFT('S.01.01.01'!$D$41,8)&lt;&gt;"Reported",'S.01.01.01'!$D$41&lt;&gt;""),Show!$B$2&amp; Show!$B$2&amp;"S.15.02.01.01 Rows{Z}@ForceFilingCode:false","")</f>
        <v/>
      </c>
    </row>
    <row r="245" spans="1:2">
      <c r="A245" t="str">
        <f>IF(AND(LEFT('S.01.01.01'!$D$42,8)&lt;&gt;"Reported",'S.01.01.01'!$D$42&lt;&gt;""),Show!$B$2 &amp; "S.16.01.01.01 Rows{Z}@ForceFilingCode:false","")</f>
        <v/>
      </c>
      <c r="B245" t="str">
        <f>IF(AND(LEFT('S.01.01.01'!$D$42,8)&lt;&gt;"Reported",'S.01.01.01'!$D$42&lt;&gt;""),Show!$B$2&amp; Show!$B$2&amp;"S.16.01.01.01 Rows{Z}@ForceFilingCode:false","")</f>
        <v/>
      </c>
    </row>
    <row r="246" spans="1:2">
      <c r="A246" t="str">
        <f>IF(AND(LEFT('S.01.01.01'!$D$42,8)&lt;&gt;"Reported",'S.01.01.01'!$D$42&lt;&gt;""),Show!$B$2 &amp; "S.16.01.01.02 Rows{Z}@ForceFilingCode:false","")</f>
        <v/>
      </c>
      <c r="B246" t="str">
        <f>IF(AND(LEFT('S.01.01.01'!$D$42,8)&lt;&gt;"Reported",'S.01.01.01'!$D$42&lt;&gt;""),Show!$B$2&amp; Show!$B$2&amp;"S.16.01.01.02 Rows{Z}@ForceFilingCode:false","")</f>
        <v/>
      </c>
    </row>
    <row r="247" spans="1:2">
      <c r="A247" t="str">
        <f>IF(AND(LEFT('S.01.01.01'!$D$43,8)&lt;&gt;"Reported",'S.01.01.01'!$D$43&lt;&gt;""),Show!$B$2 &amp; "S.17.01.01.01 Rows{Z}@ForceFilingCode:false","")</f>
        <v/>
      </c>
      <c r="B247" t="str">
        <f>IF(AND(LEFT('S.01.01.01'!$D$43,8)&lt;&gt;"Reported",'S.01.01.01'!$D$43&lt;&gt;""),Show!$B$2&amp; Show!$B$2&amp;"S.17.01.01.01 Rows{Z}@ForceFilingCode:false","")</f>
        <v/>
      </c>
    </row>
    <row r="248" spans="1:2">
      <c r="A248" t="str">
        <f>IF(AND(LEFT('S.01.01.01'!$D$44,8)&lt;&gt;"Reported",'S.01.01.01'!$D$44&lt;&gt;""),Show!$B$2 &amp; "S.17.02.01.01 Rows{Z}@ForceFilingCode:false","")</f>
        <v/>
      </c>
      <c r="B248" t="str">
        <f>IF(AND(LEFT('S.01.01.01'!$D$44,8)&lt;&gt;"Reported",'S.01.01.01'!$D$44&lt;&gt;""),Show!$B$2&amp; Show!$B$2&amp;"S.17.02.01.01 Rows{Z}@ForceFilingCode:false","")</f>
        <v/>
      </c>
    </row>
    <row r="249" spans="1:2">
      <c r="A249" t="str">
        <f>IF(AND(LEFT('S.01.01.01'!$D$44,8)&lt;&gt;"Reported",'S.01.01.01'!$D$44&lt;&gt;""),Show!$B$2 &amp; "S.17.02.01.02 Rows{Z}@ForceFilingCode:false","")</f>
        <v/>
      </c>
      <c r="B249" t="str">
        <f>IF(AND(LEFT('S.01.01.01'!$D$44,8)&lt;&gt;"Reported",'S.01.01.01'!$D$44&lt;&gt;""),Show!$B$2&amp; Show!$B$2&amp;"S.17.02.01.02 Rows{Z}@ForceFilingCode:false","")</f>
        <v/>
      </c>
    </row>
    <row r="250" spans="1:2">
      <c r="A250" t="str">
        <f>IF(AND(LEFT('S.01.01.01'!$D$45,8)&lt;&gt;"Reported",'S.01.01.01'!$D$45&lt;&gt;""),Show!$B$2 &amp; "S.18.01.01.01 Rows{Z}@ForceFilingCode:false","")</f>
        <v/>
      </c>
      <c r="B250" t="str">
        <f>IF(AND(LEFT('S.01.01.01'!$D$45,8)&lt;&gt;"Reported",'S.01.01.01'!$D$45&lt;&gt;""),Show!$B$2&amp; Show!$B$2&amp;"S.18.01.01.01 Rows{Z}@ForceFilingCode:false","")</f>
        <v/>
      </c>
    </row>
    <row r="251" spans="1:2">
      <c r="A251" t="str">
        <f>IF(AND(LEFT('S.01.01.01'!$D$46,8)&lt;&gt;"Reported",'S.01.01.01'!$D$46&lt;&gt;""),Show!$B$2 &amp; "S.19.01.01.01 Rows{Z}@ForceFilingCode:false","")</f>
        <v/>
      </c>
      <c r="B251" t="str">
        <f>IF(AND(LEFT('S.01.01.01'!$D$46,8)&lt;&gt;"Reported",'S.01.01.01'!$D$46&lt;&gt;""),Show!$B$2&amp; Show!$B$2&amp;"S.19.01.01.01 Rows{Z}@ForceFilingCode:false","")</f>
        <v/>
      </c>
    </row>
    <row r="252" spans="1:2">
      <c r="A252" t="str">
        <f>IF(AND(LEFT('S.01.01.01'!$D$46,8)&lt;&gt;"Reported",'S.01.01.01'!$D$46&lt;&gt;""),Show!$B$2 &amp; "S.19.01.01.02 Rows{Z}@ForceFilingCode:false","")</f>
        <v/>
      </c>
      <c r="B252" t="str">
        <f>IF(AND(LEFT('S.01.01.01'!$D$46,8)&lt;&gt;"Reported",'S.01.01.01'!$D$46&lt;&gt;""),Show!$B$2&amp; Show!$B$2&amp;"S.19.01.01.02 Rows{Z}@ForceFilingCode:false","")</f>
        <v/>
      </c>
    </row>
    <row r="253" spans="1:2">
      <c r="A253" t="str">
        <f>IF(AND(LEFT('S.01.01.01'!$D$46,8)&lt;&gt;"Reported",'S.01.01.01'!$D$46&lt;&gt;""),Show!$B$2 &amp; "S.19.01.01.03 Rows{Z}@ForceFilingCode:false","")</f>
        <v/>
      </c>
      <c r="B253" t="str">
        <f>IF(AND(LEFT('S.01.01.01'!$D$46,8)&lt;&gt;"Reported",'S.01.01.01'!$D$46&lt;&gt;""),Show!$B$2&amp; Show!$B$2&amp;"S.19.01.01.03 Rows{Z}@ForceFilingCode:false","")</f>
        <v/>
      </c>
    </row>
    <row r="254" spans="1:2">
      <c r="A254" t="str">
        <f>IF(AND(LEFT('S.01.01.01'!$D$46,8)&lt;&gt;"Reported",'S.01.01.01'!$D$46&lt;&gt;""),Show!$B$2 &amp; "S.19.01.01.04 Rows{Z}@ForceFilingCode:false","")</f>
        <v/>
      </c>
      <c r="B254" t="str">
        <f>IF(AND(LEFT('S.01.01.01'!$D$46,8)&lt;&gt;"Reported",'S.01.01.01'!$D$46&lt;&gt;""),Show!$B$2&amp; Show!$B$2&amp;"S.19.01.01.04 Rows{Z}@ForceFilingCode:false","")</f>
        <v/>
      </c>
    </row>
    <row r="255" spans="1:2">
      <c r="A255" t="str">
        <f>IF(AND(LEFT('S.01.01.01'!$D$46,8)&lt;&gt;"Reported",'S.01.01.01'!$D$46&lt;&gt;""),Show!$B$2 &amp; "S.19.01.01.05 Rows{Z}@ForceFilingCode:false","")</f>
        <v/>
      </c>
      <c r="B255" t="str">
        <f>IF(AND(LEFT('S.01.01.01'!$D$46,8)&lt;&gt;"Reported",'S.01.01.01'!$D$46&lt;&gt;""),Show!$B$2&amp; Show!$B$2&amp;"S.19.01.01.05 Rows{Z}@ForceFilingCode:false","")</f>
        <v/>
      </c>
    </row>
    <row r="256" spans="1:2">
      <c r="A256" t="str">
        <f>IF(AND(LEFT('S.01.01.01'!$D$46,8)&lt;&gt;"Reported",'S.01.01.01'!$D$46&lt;&gt;""),Show!$B$2 &amp; "S.19.01.01.06 Rows{Z}@ForceFilingCode:false","")</f>
        <v/>
      </c>
      <c r="B256" t="str">
        <f>IF(AND(LEFT('S.01.01.01'!$D$46,8)&lt;&gt;"Reported",'S.01.01.01'!$D$46&lt;&gt;""),Show!$B$2&amp; Show!$B$2&amp;"S.19.01.01.06 Rows{Z}@ForceFilingCode:false","")</f>
        <v/>
      </c>
    </row>
    <row r="257" spans="1:2">
      <c r="A257" t="str">
        <f>IF(AND(LEFT('S.01.01.01'!$D$46,8)&lt;&gt;"Reported",'S.01.01.01'!$D$46&lt;&gt;""),Show!$B$2 &amp; "S.19.01.01.07 Rows{Z}@ForceFilingCode:false","")</f>
        <v/>
      </c>
      <c r="B257" t="str">
        <f>IF(AND(LEFT('S.01.01.01'!$D$46,8)&lt;&gt;"Reported",'S.01.01.01'!$D$46&lt;&gt;""),Show!$B$2&amp; Show!$B$2&amp;"S.19.01.01.07 Rows{Z}@ForceFilingCode:false","")</f>
        <v/>
      </c>
    </row>
    <row r="258" spans="1:2">
      <c r="A258" t="str">
        <f>IF(AND(LEFT('S.01.01.01'!$D$46,8)&lt;&gt;"Reported",'S.01.01.01'!$D$46&lt;&gt;""),Show!$B$2 &amp; "S.19.01.01.08 Rows{Z}@ForceFilingCode:false","")</f>
        <v/>
      </c>
      <c r="B258" t="str">
        <f>IF(AND(LEFT('S.01.01.01'!$D$46,8)&lt;&gt;"Reported",'S.01.01.01'!$D$46&lt;&gt;""),Show!$B$2&amp; Show!$B$2&amp;"S.19.01.01.08 Rows{Z}@ForceFilingCode:false","")</f>
        <v/>
      </c>
    </row>
    <row r="259" spans="1:2">
      <c r="A259" t="str">
        <f>IF(AND(LEFT('S.01.01.01'!$D$46,8)&lt;&gt;"Reported",'S.01.01.01'!$D$46&lt;&gt;""),Show!$B$2 &amp; "S.19.01.01.09 Rows{Z}@ForceFilingCode:false","")</f>
        <v/>
      </c>
      <c r="B259" t="str">
        <f>IF(AND(LEFT('S.01.01.01'!$D$46,8)&lt;&gt;"Reported",'S.01.01.01'!$D$46&lt;&gt;""),Show!$B$2&amp; Show!$B$2&amp;"S.19.01.01.09 Rows{Z}@ForceFilingCode:false","")</f>
        <v/>
      </c>
    </row>
    <row r="260" spans="1:2">
      <c r="A260" t="str">
        <f>IF(AND(LEFT('S.01.01.01'!$D$46,8)&lt;&gt;"Reported",'S.01.01.01'!$D$46&lt;&gt;""),Show!$B$2 &amp; "S.19.01.01.10 Rows{Z}@ForceFilingCode:false","")</f>
        <v/>
      </c>
      <c r="B260" t="str">
        <f>IF(AND(LEFT('S.01.01.01'!$D$46,8)&lt;&gt;"Reported",'S.01.01.01'!$D$46&lt;&gt;""),Show!$B$2&amp; Show!$B$2&amp;"S.19.01.01.10 Rows{Z}@ForceFilingCode:false","")</f>
        <v/>
      </c>
    </row>
    <row r="261" spans="1:2">
      <c r="A261" t="str">
        <f>IF(AND(LEFT('S.01.01.01'!$D$46,8)&lt;&gt;"Reported",'S.01.01.01'!$D$46&lt;&gt;""),Show!$B$2 &amp; "S.19.01.01.11 Rows{Z}@ForceFilingCode:false","")</f>
        <v/>
      </c>
      <c r="B261" t="str">
        <f>IF(AND(LEFT('S.01.01.01'!$D$46,8)&lt;&gt;"Reported",'S.01.01.01'!$D$46&lt;&gt;""),Show!$B$2&amp; Show!$B$2&amp;"S.19.01.01.11 Rows{Z}@ForceFilingCode:false","")</f>
        <v/>
      </c>
    </row>
    <row r="262" spans="1:2">
      <c r="A262" t="str">
        <f>IF(AND(LEFT('S.01.01.01'!$D$46,8)&lt;&gt;"Reported",'S.01.01.01'!$D$46&lt;&gt;""),Show!$B$2 &amp; "S.19.01.01.12 Rows{Z}@ForceFilingCode:false","")</f>
        <v/>
      </c>
      <c r="B262" t="str">
        <f>IF(AND(LEFT('S.01.01.01'!$D$46,8)&lt;&gt;"Reported",'S.01.01.01'!$D$46&lt;&gt;""),Show!$B$2&amp; Show!$B$2&amp;"S.19.01.01.12 Rows{Z}@ForceFilingCode:false","")</f>
        <v/>
      </c>
    </row>
    <row r="263" spans="1:2">
      <c r="A263" t="str">
        <f>IF(AND(LEFT('S.01.01.01'!$D$46,8)&lt;&gt;"Reported",'S.01.01.01'!$D$46&lt;&gt;""),Show!$B$2 &amp; "S.19.01.01.13 Rows{Z}@ForceFilingCode:false","")</f>
        <v/>
      </c>
      <c r="B263" t="str">
        <f>IF(AND(LEFT('S.01.01.01'!$D$46,8)&lt;&gt;"Reported",'S.01.01.01'!$D$46&lt;&gt;""),Show!$B$2&amp; Show!$B$2&amp;"S.19.01.01.13 Rows{Z}@ForceFilingCode:false","")</f>
        <v/>
      </c>
    </row>
    <row r="264" spans="1:2">
      <c r="A264" t="str">
        <f>IF(AND(LEFT('S.01.01.01'!$D$46,8)&lt;&gt;"Reported",'S.01.01.01'!$D$46&lt;&gt;""),Show!$B$2 &amp; "S.19.01.01.14 Rows{Z}@ForceFilingCode:false","")</f>
        <v/>
      </c>
      <c r="B264" t="str">
        <f>IF(AND(LEFT('S.01.01.01'!$D$46,8)&lt;&gt;"Reported",'S.01.01.01'!$D$46&lt;&gt;""),Show!$B$2&amp; Show!$B$2&amp;"S.19.01.01.14 Rows{Z}@ForceFilingCode:false","")</f>
        <v/>
      </c>
    </row>
    <row r="265" spans="1:2">
      <c r="A265" t="str">
        <f>IF(AND(LEFT('S.01.01.01'!$D$46,8)&lt;&gt;"Reported",'S.01.01.01'!$D$46&lt;&gt;""),Show!$B$2 &amp; "S.19.01.01.15 Rows{Z}@ForceFilingCode:false","")</f>
        <v/>
      </c>
      <c r="B265" t="str">
        <f>IF(AND(LEFT('S.01.01.01'!$D$46,8)&lt;&gt;"Reported",'S.01.01.01'!$D$46&lt;&gt;""),Show!$B$2&amp; Show!$B$2&amp;"S.19.01.01.15 Rows{Z}@ForceFilingCode:false","")</f>
        <v/>
      </c>
    </row>
    <row r="266" spans="1:2">
      <c r="A266" t="str">
        <f>IF(AND(LEFT('S.01.01.01'!$D$46,8)&lt;&gt;"Reported",'S.01.01.01'!$D$46&lt;&gt;""),Show!$B$2 &amp; "S.19.01.01.16 Rows{Z}@ForceFilingCode:false","")</f>
        <v/>
      </c>
      <c r="B266" t="str">
        <f>IF(AND(LEFT('S.01.01.01'!$D$46,8)&lt;&gt;"Reported",'S.01.01.01'!$D$46&lt;&gt;""),Show!$B$2&amp; Show!$B$2&amp;"S.19.01.01.16 Rows{Z}@ForceFilingCode:false","")</f>
        <v/>
      </c>
    </row>
    <row r="267" spans="1:2">
      <c r="A267" t="str">
        <f>IF(AND(LEFT('S.01.01.01'!$D$46,8)&lt;&gt;"Reported",'S.01.01.01'!$D$46&lt;&gt;""),Show!$B$2 &amp; "S.19.01.01.17 Rows{Z}@ForceFilingCode:false","")</f>
        <v/>
      </c>
      <c r="B267" t="str">
        <f>IF(AND(LEFT('S.01.01.01'!$D$46,8)&lt;&gt;"Reported",'S.01.01.01'!$D$46&lt;&gt;""),Show!$B$2&amp; Show!$B$2&amp;"S.19.01.01.17 Rows{Z}@ForceFilingCode:false","")</f>
        <v/>
      </c>
    </row>
    <row r="268" spans="1:2">
      <c r="A268" t="str">
        <f>IF(AND(LEFT('S.01.01.01'!$D$46,8)&lt;&gt;"Reported",'S.01.01.01'!$D$46&lt;&gt;""),Show!$B$2 &amp; "S.19.01.01.18 Rows{Z}@ForceFilingCode:false","")</f>
        <v/>
      </c>
      <c r="B268" t="str">
        <f>IF(AND(LEFT('S.01.01.01'!$D$46,8)&lt;&gt;"Reported",'S.01.01.01'!$D$46&lt;&gt;""),Show!$B$2&amp; Show!$B$2&amp;"S.19.01.01.18 Rows{Z}@ForceFilingCode:false","")</f>
        <v/>
      </c>
    </row>
    <row r="269" spans="1:2">
      <c r="A269" t="str">
        <f>IF(AND(LEFT('S.01.01.01'!$D$46,8)&lt;&gt;"Reported",'S.01.01.01'!$D$46&lt;&gt;""),Show!$B$2 &amp; "S.19.01.01.19 Rows{Z}@ForceFilingCode:false","")</f>
        <v/>
      </c>
      <c r="B269" t="str">
        <f>IF(AND(LEFT('S.01.01.01'!$D$46,8)&lt;&gt;"Reported",'S.01.01.01'!$D$46&lt;&gt;""),Show!$B$2&amp; Show!$B$2&amp;"S.19.01.01.19 Rows{Z}@ForceFilingCode:false","")</f>
        <v/>
      </c>
    </row>
    <row r="270" spans="1:2">
      <c r="A270" t="str">
        <f>IF(AND(LEFT('S.01.01.01'!$D$46,8)&lt;&gt;"Reported",'S.01.01.01'!$D$46&lt;&gt;""),Show!$B$2 &amp; "S.19.01.01.20 Rows{Z}@ForceFilingCode:false","")</f>
        <v/>
      </c>
      <c r="B270" t="str">
        <f>IF(AND(LEFT('S.01.01.01'!$D$46,8)&lt;&gt;"Reported",'S.01.01.01'!$D$46&lt;&gt;""),Show!$B$2&amp; Show!$B$2&amp;"S.19.01.01.20 Rows{Z}@ForceFilingCode:false","")</f>
        <v/>
      </c>
    </row>
    <row r="271" spans="1:2">
      <c r="A271" t="str">
        <f>IF(AND(LEFT('S.01.01.01'!$D$46,8)&lt;&gt;"Reported",'S.01.01.01'!$D$46&lt;&gt;""),Show!$B$2 &amp; "S.19.01.01.21 Rows{Z}@ForceFilingCode:false","")</f>
        <v/>
      </c>
      <c r="B271" t="str">
        <f>IF(AND(LEFT('S.01.01.01'!$D$46,8)&lt;&gt;"Reported",'S.01.01.01'!$D$46&lt;&gt;""),Show!$B$2&amp; Show!$B$2&amp;"S.19.01.01.21 Rows{Z}@ForceFilingCode:false","")</f>
        <v/>
      </c>
    </row>
    <row r="272" spans="1:2">
      <c r="A272" t="str">
        <f>IF(AND(LEFT('S.01.01.01'!$D$47,8)&lt;&gt;"Reported",'S.01.01.01'!$D$47&lt;&gt;""),Show!$B$2 &amp; "S.20.01.01.01 Rows{Z}@ForceFilingCode:false","")</f>
        <v/>
      </c>
      <c r="B272" t="str">
        <f>IF(AND(LEFT('S.01.01.01'!$D$47,8)&lt;&gt;"Reported",'S.01.01.01'!$D$47&lt;&gt;""),Show!$B$2&amp; Show!$B$2&amp;"S.20.01.01.01 Rows{Z}@ForceFilingCode:false","")</f>
        <v/>
      </c>
    </row>
    <row r="273" spans="1:2">
      <c r="A273" t="str">
        <f>IF(AND(LEFT('S.01.01.01'!$D$48,8)&lt;&gt;"Reported",'S.01.01.01'!$D$48&lt;&gt;""),Show!$B$2 &amp; "S.21.01.01.01 Rows{Z}@ForceFilingCode:false","")</f>
        <v/>
      </c>
      <c r="B273" t="str">
        <f>IF(AND(LEFT('S.01.01.01'!$D$48,8)&lt;&gt;"Reported",'S.01.01.01'!$D$48&lt;&gt;""),Show!$B$2&amp; Show!$B$2&amp;"S.21.01.01.01 Rows{Z}@ForceFilingCode:false","")</f>
        <v/>
      </c>
    </row>
    <row r="274" spans="1:2">
      <c r="A274" t="str">
        <f>IF(AND(LEFT('S.01.01.01'!$D$49,8)&lt;&gt;"Reported",'S.01.01.01'!$D$49&lt;&gt;""),Show!$B$2 &amp; "S.21.02.01.01 Rows{Z}@ForceFilingCode:false","")</f>
        <v/>
      </c>
      <c r="B274" t="str">
        <f>IF(AND(LEFT('S.01.01.01'!$D$49,8)&lt;&gt;"Reported",'S.01.01.01'!$D$49&lt;&gt;""),Show!$B$2&amp; Show!$B$2&amp;"S.21.02.01.01 Rows{Z}@ForceFilingCode:false","")</f>
        <v/>
      </c>
    </row>
    <row r="275" spans="1:2">
      <c r="A275" t="str">
        <f>IF(AND(LEFT('S.01.01.01'!$D$50,8)&lt;&gt;"Reported",'S.01.01.01'!$D$50&lt;&gt;""),Show!$B$2 &amp; "S.21.03.01.01 Rows{Z}@ForceFilingCode:false","")</f>
        <v/>
      </c>
      <c r="B275" t="str">
        <f>IF(AND(LEFT('S.01.01.01'!$D$50,8)&lt;&gt;"Reported",'S.01.01.01'!$D$50&lt;&gt;""),Show!$B$2&amp; Show!$B$2&amp;"S.21.03.01.01 Rows{Z}@ForceFilingCode:false","")</f>
        <v/>
      </c>
    </row>
    <row r="276" spans="1:2">
      <c r="A276" t="str">
        <f>IF(AND(LEFT('S.01.01.01'!$D$51,8)&lt;&gt;"Reported",'S.01.01.01'!$D$51&lt;&gt;""),Show!$B$2 &amp; "S.22.01.01.01 Rows{Z}@ForceFilingCode:false","")</f>
        <v/>
      </c>
      <c r="B276" t="str">
        <f>IF(AND(LEFT('S.01.01.01'!$D$51,8)&lt;&gt;"Reported",'S.01.01.01'!$D$51&lt;&gt;""),Show!$B$2&amp; Show!$B$2&amp;"S.22.01.01.01 Rows{Z}@ForceFilingCode:false","")</f>
        <v/>
      </c>
    </row>
    <row r="277" spans="1:2">
      <c r="A277" t="str">
        <f>IF(AND(LEFT('S.01.01.01'!$D$52,8)&lt;&gt;"Reported",'S.01.01.01'!$D$52&lt;&gt;""),Show!$B$2 &amp; "S.22.04.01.01 Rows{Z}@ForceFilingCode:false","")</f>
        <v/>
      </c>
      <c r="B277" t="str">
        <f>IF(AND(LEFT('S.01.01.01'!$D$52,8)&lt;&gt;"Reported",'S.01.01.01'!$D$52&lt;&gt;""),Show!$B$2&amp; Show!$B$2&amp;"S.22.04.01.01 Rows{Z}@ForceFilingCode:false","")</f>
        <v/>
      </c>
    </row>
    <row r="278" spans="1:2">
      <c r="A278" t="str">
        <f>IF(AND(LEFT('S.01.01.01'!$D$52,8)&lt;&gt;"Reported",'S.01.01.01'!$D$52&lt;&gt;""),Show!$B$2 &amp; "S.22.04.01.02 Rows{Z}@ForceFilingCode:false","")</f>
        <v/>
      </c>
      <c r="B278" t="str">
        <f>IF(AND(LEFT('S.01.01.01'!$D$52,8)&lt;&gt;"Reported",'S.01.01.01'!$D$52&lt;&gt;""),Show!$B$2&amp; Show!$B$2&amp;"S.22.04.01.02 Rows{Z}@ForceFilingCode:false","")</f>
        <v/>
      </c>
    </row>
    <row r="279" spans="1:2">
      <c r="A279" t="str">
        <f>IF(AND(LEFT('S.01.01.01'!$D$53,8)&lt;&gt;"Reported",'S.01.01.01'!$D$53&lt;&gt;""),Show!$B$2 &amp; "S.22.05.01.01 Rows{Z}@ForceFilingCode:false","")</f>
        <v/>
      </c>
      <c r="B279" t="str">
        <f>IF(AND(LEFT('S.01.01.01'!$D$53,8)&lt;&gt;"Reported",'S.01.01.01'!$D$53&lt;&gt;""),Show!$B$2&amp; Show!$B$2&amp;"S.22.05.01.01 Rows{Z}@ForceFilingCode:false","")</f>
        <v/>
      </c>
    </row>
    <row r="280" spans="1:2">
      <c r="A280" t="str">
        <f>IF(AND(LEFT('S.01.01.01'!$D$54,8)&lt;&gt;"Reported",'S.01.01.01'!$D$54&lt;&gt;""),Show!$B$2 &amp; "S.22.06.01.01 Rows{Z}@ForceFilingCode:false","")</f>
        <v/>
      </c>
      <c r="B280" t="str">
        <f>IF(AND(LEFT('S.01.01.01'!$D$54,8)&lt;&gt;"Reported",'S.01.01.01'!$D$54&lt;&gt;""),Show!$B$2&amp; Show!$B$2&amp;"S.22.06.01.01 Rows{Z}@ForceFilingCode:false","")</f>
        <v/>
      </c>
    </row>
    <row r="281" spans="1:2">
      <c r="A281" t="str">
        <f>IF(AND(LEFT('S.01.01.01'!$D$54,8)&lt;&gt;"Reported",'S.01.01.01'!$D$54&lt;&gt;""),Show!$B$2 &amp; "S.22.06.01.02 Rows{Z}@ForceFilingCode:false","")</f>
        <v/>
      </c>
      <c r="B281" t="str">
        <f>IF(AND(LEFT('S.01.01.01'!$D$54,8)&lt;&gt;"Reported",'S.01.01.01'!$D$54&lt;&gt;""),Show!$B$2&amp; Show!$B$2&amp;"S.22.06.01.02 Rows{Z}@ForceFilingCode:false","")</f>
        <v/>
      </c>
    </row>
    <row r="282" spans="1:2">
      <c r="A282" t="str">
        <f>IF(AND(LEFT('S.01.01.01'!$D$54,8)&lt;&gt;"Reported",'S.01.01.01'!$D$54&lt;&gt;""),Show!$B$2 &amp; "S.22.06.01.03 Rows{Z}@ForceFilingCode:false","")</f>
        <v/>
      </c>
      <c r="B282" t="str">
        <f>IF(AND(LEFT('S.01.01.01'!$D$54,8)&lt;&gt;"Reported",'S.01.01.01'!$D$54&lt;&gt;""),Show!$B$2&amp; Show!$B$2&amp;"S.22.06.01.03 Rows{Z}@ForceFilingCode:false","")</f>
        <v/>
      </c>
    </row>
    <row r="283" spans="1:2">
      <c r="A283" t="str">
        <f>IF(AND(LEFT('S.01.01.01'!$D$54,8)&lt;&gt;"Reported",'S.01.01.01'!$D$54&lt;&gt;""),Show!$B$2 &amp; "S.22.06.01.04 Rows{Z}@ForceFilingCode:false","")</f>
        <v/>
      </c>
      <c r="B283" t="str">
        <f>IF(AND(LEFT('S.01.01.01'!$D$54,8)&lt;&gt;"Reported",'S.01.01.01'!$D$54&lt;&gt;""),Show!$B$2&amp; Show!$B$2&amp;"S.22.06.01.04 Rows{Z}@ForceFilingCode:false","")</f>
        <v/>
      </c>
    </row>
    <row r="284" spans="1:2">
      <c r="A284" t="str">
        <f>IF(AND(LEFT('S.01.01.01'!$D$55,8)&lt;&gt;"Reported",'S.01.01.01'!$D$55&lt;&gt;""),Show!$B$2 &amp; "S.23.01.01.01 Rows{Z}@ForceFilingCode:false","")</f>
        <v/>
      </c>
      <c r="B284" t="str">
        <f>IF(AND(LEFT('S.01.01.01'!$D$55,8)&lt;&gt;"Reported",'S.01.01.01'!$D$55&lt;&gt;""),Show!$B$2&amp; Show!$B$2&amp;"S.23.01.01.01 Rows{Z}@ForceFilingCode:false","")</f>
        <v/>
      </c>
    </row>
    <row r="285" spans="1:2">
      <c r="A285" t="str">
        <f>IF(AND(LEFT('S.01.01.01'!$D$55,8)&lt;&gt;"Reported",'S.01.01.01'!$D$55&lt;&gt;""),Show!$B$2 &amp; "S.23.01.01.02 Rows{Z}@ForceFilingCode:false","")</f>
        <v/>
      </c>
      <c r="B285" t="str">
        <f>IF(AND(LEFT('S.01.01.01'!$D$55,8)&lt;&gt;"Reported",'S.01.01.01'!$D$55&lt;&gt;""),Show!$B$2&amp; Show!$B$2&amp;"S.23.01.01.02 Rows{Z}@ForceFilingCode:false","")</f>
        <v/>
      </c>
    </row>
    <row r="286" spans="1:2">
      <c r="A286" t="str">
        <f>IF(AND(LEFT('S.01.01.01'!$D$56,8)&lt;&gt;"Reported",'S.01.01.01'!$D$56&lt;&gt;""),Show!$B$2 &amp; "S.23.02.01.01 Rows{Z}@ForceFilingCode:false","")</f>
        <v/>
      </c>
      <c r="B286" t="str">
        <f>IF(AND(LEFT('S.01.01.01'!$D$56,8)&lt;&gt;"Reported",'S.01.01.01'!$D$56&lt;&gt;""),Show!$B$2&amp; Show!$B$2&amp;"S.23.02.01.01 Rows{Z}@ForceFilingCode:false","")</f>
        <v/>
      </c>
    </row>
    <row r="287" spans="1:2">
      <c r="A287" t="str">
        <f>IF(AND(LEFT('S.01.01.01'!$D$56,8)&lt;&gt;"Reported",'S.01.01.01'!$D$56&lt;&gt;""),Show!$B$2 &amp; "S.23.02.01.02 Rows{Z}@ForceFilingCode:false","")</f>
        <v/>
      </c>
      <c r="B287" t="str">
        <f>IF(AND(LEFT('S.01.01.01'!$D$56,8)&lt;&gt;"Reported",'S.01.01.01'!$D$56&lt;&gt;""),Show!$B$2&amp; Show!$B$2&amp;"S.23.02.01.02 Rows{Z}@ForceFilingCode:false","")</f>
        <v/>
      </c>
    </row>
    <row r="288" spans="1:2">
      <c r="A288" t="str">
        <f>IF(AND(LEFT('S.01.01.01'!$D$56,8)&lt;&gt;"Reported",'S.01.01.01'!$D$56&lt;&gt;""),Show!$B$2 &amp; "S.23.02.01.03 Rows{Z}@ForceFilingCode:false","")</f>
        <v/>
      </c>
      <c r="B288" t="str">
        <f>IF(AND(LEFT('S.01.01.01'!$D$56,8)&lt;&gt;"Reported",'S.01.01.01'!$D$56&lt;&gt;""),Show!$B$2&amp; Show!$B$2&amp;"S.23.02.01.03 Rows{Z}@ForceFilingCode:false","")</f>
        <v/>
      </c>
    </row>
    <row r="289" spans="1:2">
      <c r="A289" t="str">
        <f>IF(AND(LEFT('S.01.01.01'!$D$56,8)&lt;&gt;"Reported",'S.01.01.01'!$D$56&lt;&gt;""),Show!$B$2 &amp; "S.23.02.01.04 Rows{Z}@ForceFilingCode:false","")</f>
        <v/>
      </c>
      <c r="B289" t="str">
        <f>IF(AND(LEFT('S.01.01.01'!$D$56,8)&lt;&gt;"Reported",'S.01.01.01'!$D$56&lt;&gt;""),Show!$B$2&amp; Show!$B$2&amp;"S.23.02.01.04 Rows{Z}@ForceFilingCode:false","")</f>
        <v/>
      </c>
    </row>
    <row r="290" spans="1:2">
      <c r="A290" t="str">
        <f>IF(AND(LEFT('S.01.01.01'!$D$57,8)&lt;&gt;"Reported",'S.01.01.01'!$D$57&lt;&gt;""),Show!$B$2 &amp; "S.23.03.01.01 Rows{Z}@ForceFilingCode:false","")</f>
        <v/>
      </c>
      <c r="B290" t="str">
        <f>IF(AND(LEFT('S.01.01.01'!$D$57,8)&lt;&gt;"Reported",'S.01.01.01'!$D$57&lt;&gt;""),Show!$B$2&amp; Show!$B$2&amp;"S.23.03.01.01 Rows{Z}@ForceFilingCode:false","")</f>
        <v/>
      </c>
    </row>
    <row r="291" spans="1:2">
      <c r="A291" t="str">
        <f>IF(AND(LEFT('S.01.01.01'!$D$57,8)&lt;&gt;"Reported",'S.01.01.01'!$D$57&lt;&gt;""),Show!$B$2 &amp; "S.23.03.01.02 Rows{Z}@ForceFilingCode:false","")</f>
        <v/>
      </c>
      <c r="B291" t="str">
        <f>IF(AND(LEFT('S.01.01.01'!$D$57,8)&lt;&gt;"Reported",'S.01.01.01'!$D$57&lt;&gt;""),Show!$B$2&amp; Show!$B$2&amp;"S.23.03.01.02 Rows{Z}@ForceFilingCode:false","")</f>
        <v/>
      </c>
    </row>
    <row r="292" spans="1:2">
      <c r="A292" t="str">
        <f>IF(AND(LEFT('S.01.01.01'!$D$57,8)&lt;&gt;"Reported",'S.01.01.01'!$D$57&lt;&gt;""),Show!$B$2 &amp; "S.23.03.01.03 Rows{Z}@ForceFilingCode:false","")</f>
        <v/>
      </c>
      <c r="B292" t="str">
        <f>IF(AND(LEFT('S.01.01.01'!$D$57,8)&lt;&gt;"Reported",'S.01.01.01'!$D$57&lt;&gt;""),Show!$B$2&amp; Show!$B$2&amp;"S.23.03.01.03 Rows{Z}@ForceFilingCode:false","")</f>
        <v/>
      </c>
    </row>
    <row r="293" spans="1:2">
      <c r="A293" t="str">
        <f>IF(AND(LEFT('S.01.01.01'!$D$57,8)&lt;&gt;"Reported",'S.01.01.01'!$D$57&lt;&gt;""),Show!$B$2 &amp; "S.23.03.01.04 Rows{Z}@ForceFilingCode:false","")</f>
        <v/>
      </c>
      <c r="B293" t="str">
        <f>IF(AND(LEFT('S.01.01.01'!$D$57,8)&lt;&gt;"Reported",'S.01.01.01'!$D$57&lt;&gt;""),Show!$B$2&amp; Show!$B$2&amp;"S.23.03.01.04 Rows{Z}@ForceFilingCode:false","")</f>
        <v/>
      </c>
    </row>
    <row r="294" spans="1:2">
      <c r="A294" t="str">
        <f>IF(AND(LEFT('S.01.01.01'!$D$57,8)&lt;&gt;"Reported",'S.01.01.01'!$D$57&lt;&gt;""),Show!$B$2 &amp; "S.23.03.01.05 Rows{Z}@ForceFilingCode:false","")</f>
        <v/>
      </c>
      <c r="B294" t="str">
        <f>IF(AND(LEFT('S.01.01.01'!$D$57,8)&lt;&gt;"Reported",'S.01.01.01'!$D$57&lt;&gt;""),Show!$B$2&amp; Show!$B$2&amp;"S.23.03.01.05 Rows{Z}@ForceFilingCode:false","")</f>
        <v/>
      </c>
    </row>
    <row r="295" spans="1:2">
      <c r="A295" t="str">
        <f>IF(AND(LEFT('S.01.01.01'!$D$57,8)&lt;&gt;"Reported",'S.01.01.01'!$D$57&lt;&gt;""),Show!$B$2 &amp; "S.23.03.01.06 Rows{Z}@ForceFilingCode:false","")</f>
        <v/>
      </c>
      <c r="B295" t="str">
        <f>IF(AND(LEFT('S.01.01.01'!$D$57,8)&lt;&gt;"Reported",'S.01.01.01'!$D$57&lt;&gt;""),Show!$B$2&amp; Show!$B$2&amp;"S.23.03.01.06 Rows{Z}@ForceFilingCode:false","")</f>
        <v/>
      </c>
    </row>
    <row r="296" spans="1:2">
      <c r="A296" t="str">
        <f>IF(AND(LEFT('S.01.01.01'!$D$57,8)&lt;&gt;"Reported",'S.01.01.01'!$D$57&lt;&gt;""),Show!$B$2 &amp; "S.23.03.01.07 Rows{Z}@ForceFilingCode:false","")</f>
        <v/>
      </c>
      <c r="B296" t="str">
        <f>IF(AND(LEFT('S.01.01.01'!$D$57,8)&lt;&gt;"Reported",'S.01.01.01'!$D$57&lt;&gt;""),Show!$B$2&amp; Show!$B$2&amp;"S.23.03.01.07 Rows{Z}@ForceFilingCode:false","")</f>
        <v/>
      </c>
    </row>
    <row r="297" spans="1:2">
      <c r="A297" t="str">
        <f>IF(AND(LEFT('S.01.01.01'!$D$57,8)&lt;&gt;"Reported",'S.01.01.01'!$D$57&lt;&gt;""),Show!$B$2 &amp; "S.23.03.01.08 Rows{Z}@ForceFilingCode:false","")</f>
        <v/>
      </c>
      <c r="B297" t="str">
        <f>IF(AND(LEFT('S.01.01.01'!$D$57,8)&lt;&gt;"Reported",'S.01.01.01'!$D$57&lt;&gt;""),Show!$B$2&amp; Show!$B$2&amp;"S.23.03.01.08 Rows{Z}@ForceFilingCode:false","")</f>
        <v/>
      </c>
    </row>
    <row r="298" spans="1:2">
      <c r="A298" t="str">
        <f>IF(AND(LEFT('S.01.01.01'!$D$58,8)&lt;&gt;"Reported",'S.01.01.01'!$D$58&lt;&gt;""),Show!$B$2 &amp; "S.23.04.01.01 Rows{Z}@ForceFilingCode:false","")</f>
        <v/>
      </c>
      <c r="B298" t="str">
        <f>IF(AND(LEFT('S.01.01.01'!$D$58,8)&lt;&gt;"Reported",'S.01.01.01'!$D$58&lt;&gt;""),Show!$B$2&amp; Show!$B$2&amp;"S.23.04.01.01 Rows{Z}@ForceFilingCode:false","")</f>
        <v/>
      </c>
    </row>
    <row r="299" spans="1:2">
      <c r="A299" t="str">
        <f>IF(AND(LEFT('S.01.01.01'!$D$58,8)&lt;&gt;"Reported",'S.01.01.01'!$D$58&lt;&gt;""),Show!$B$2 &amp; "S.23.04.01.02 Rows{Z}@ForceFilingCode:false","")</f>
        <v/>
      </c>
      <c r="B299" t="str">
        <f>IF(AND(LEFT('S.01.01.01'!$D$58,8)&lt;&gt;"Reported",'S.01.01.01'!$D$58&lt;&gt;""),Show!$B$2&amp; Show!$B$2&amp;"S.23.04.01.02 Rows{Z}@ForceFilingCode:false","")</f>
        <v/>
      </c>
    </row>
    <row r="300" spans="1:2">
      <c r="A300" t="str">
        <f>IF(AND(LEFT('S.01.01.01'!$D$58,8)&lt;&gt;"Reported",'S.01.01.01'!$D$58&lt;&gt;""),Show!$B$2 &amp; "S.23.04.01.03 Rows{Z}@ForceFilingCode:false","")</f>
        <v/>
      </c>
      <c r="B300" t="str">
        <f>IF(AND(LEFT('S.01.01.01'!$D$58,8)&lt;&gt;"Reported",'S.01.01.01'!$D$58&lt;&gt;""),Show!$B$2&amp; Show!$B$2&amp;"S.23.04.01.03 Rows{Z}@ForceFilingCode:false","")</f>
        <v/>
      </c>
    </row>
    <row r="301" spans="1:2">
      <c r="A301" t="str">
        <f>IF(AND(LEFT('S.01.01.01'!$D$58,8)&lt;&gt;"Reported",'S.01.01.01'!$D$58&lt;&gt;""),Show!$B$2 &amp; "S.23.04.01.04 Rows{Z}@ForceFilingCode:false","")</f>
        <v/>
      </c>
      <c r="B301" t="str">
        <f>IF(AND(LEFT('S.01.01.01'!$D$58,8)&lt;&gt;"Reported",'S.01.01.01'!$D$58&lt;&gt;""),Show!$B$2&amp; Show!$B$2&amp;"S.23.04.01.04 Rows{Z}@ForceFilingCode:false","")</f>
        <v/>
      </c>
    </row>
    <row r="302" spans="1:2">
      <c r="A302" t="str">
        <f>IF(AND(LEFT('S.01.01.01'!$D$58,8)&lt;&gt;"Reported",'S.01.01.01'!$D$58&lt;&gt;""),Show!$B$2 &amp; "S.23.04.01.05 Rows{Z}@ForceFilingCode:false","")</f>
        <v/>
      </c>
      <c r="B302" t="str">
        <f>IF(AND(LEFT('S.01.01.01'!$D$58,8)&lt;&gt;"Reported",'S.01.01.01'!$D$58&lt;&gt;""),Show!$B$2&amp; Show!$B$2&amp;"S.23.04.01.05 Rows{Z}@ForceFilingCode:false","")</f>
        <v/>
      </c>
    </row>
    <row r="303" spans="1:2">
      <c r="A303" t="str">
        <f>IF(AND(LEFT('S.01.01.01'!$D$58,8)&lt;&gt;"Reported",'S.01.01.01'!$D$58&lt;&gt;""),Show!$B$2 &amp; "S.23.04.01.06 Rows{Z}@ForceFilingCode:false","")</f>
        <v/>
      </c>
      <c r="B303" t="str">
        <f>IF(AND(LEFT('S.01.01.01'!$D$58,8)&lt;&gt;"Reported",'S.01.01.01'!$D$58&lt;&gt;""),Show!$B$2&amp; Show!$B$2&amp;"S.23.04.01.06 Rows{Z}@ForceFilingCode:false","")</f>
        <v/>
      </c>
    </row>
    <row r="304" spans="1:2">
      <c r="A304" t="str">
        <f>IF(AND(LEFT('S.01.01.01'!$D$58,8)&lt;&gt;"Reported",'S.01.01.01'!$D$58&lt;&gt;""),Show!$B$2 &amp; "S.23.04.01.07 Rows{Z}@ForceFilingCode:false","")</f>
        <v/>
      </c>
      <c r="B304" t="str">
        <f>IF(AND(LEFT('S.01.01.01'!$D$58,8)&lt;&gt;"Reported",'S.01.01.01'!$D$58&lt;&gt;""),Show!$B$2&amp; Show!$B$2&amp;"S.23.04.01.07 Rows{Z}@ForceFilingCode:false","")</f>
        <v/>
      </c>
    </row>
    <row r="305" spans="1:2">
      <c r="A305" t="str">
        <f>IF(AND(LEFT('S.01.01.01'!$D$58,8)&lt;&gt;"Reported",'S.01.01.01'!$D$58&lt;&gt;""),Show!$B$2 &amp; "S.23.04.01.09 Rows{Z}@ForceFilingCode:false","")</f>
        <v/>
      </c>
      <c r="B305" t="str">
        <f>IF(AND(LEFT('S.01.01.01'!$D$58,8)&lt;&gt;"Reported",'S.01.01.01'!$D$58&lt;&gt;""),Show!$B$2&amp; Show!$B$2&amp;"S.23.04.01.09 Rows{Z}@ForceFilingCode:false","")</f>
        <v/>
      </c>
    </row>
    <row r="306" spans="1:2">
      <c r="A306" t="str">
        <f>IF(AND(LEFT('S.01.01.01'!$D$59,8)&lt;&gt;"Reported",'S.01.01.01'!$D$59&lt;&gt;""),Show!$B$2 &amp; "S.24.01.01.01 Rows{Z}@ForceFilingCode:false","")</f>
        <v/>
      </c>
      <c r="B306" t="str">
        <f>IF(AND(LEFT('S.01.01.01'!$D$59,8)&lt;&gt;"Reported",'S.01.01.01'!$D$59&lt;&gt;""),Show!$B$2&amp; Show!$B$2&amp;"S.24.01.01.01 Rows{Z}@ForceFilingCode:false","")</f>
        <v/>
      </c>
    </row>
    <row r="307" spans="1:2">
      <c r="A307" t="str">
        <f>IF(AND(LEFT('S.01.01.01'!$D$59,8)&lt;&gt;"Reported",'S.01.01.01'!$D$59&lt;&gt;""),Show!$B$2 &amp; "S.24.01.01.02 Rows{Z}@ForceFilingCode:false","")</f>
        <v/>
      </c>
      <c r="B307" t="str">
        <f>IF(AND(LEFT('S.01.01.01'!$D$59,8)&lt;&gt;"Reported",'S.01.01.01'!$D$59&lt;&gt;""),Show!$B$2&amp; Show!$B$2&amp;"S.24.01.01.02 Rows{Z}@ForceFilingCode:false","")</f>
        <v/>
      </c>
    </row>
    <row r="308" spans="1:2">
      <c r="A308" t="str">
        <f>IF(AND(LEFT('S.01.01.01'!$D$59,8)&lt;&gt;"Reported",'S.01.01.01'!$D$59&lt;&gt;""),Show!$B$2 &amp; "S.24.01.01.03 Rows{Z}@ForceFilingCode:false","")</f>
        <v/>
      </c>
      <c r="B308" t="str">
        <f>IF(AND(LEFT('S.01.01.01'!$D$59,8)&lt;&gt;"Reported",'S.01.01.01'!$D$59&lt;&gt;""),Show!$B$2&amp; Show!$B$2&amp;"S.24.01.01.03 Rows{Z}@ForceFilingCode:false","")</f>
        <v/>
      </c>
    </row>
    <row r="309" spans="1:2">
      <c r="A309" t="str">
        <f>IF(AND(LEFT('S.01.01.01'!$D$59,8)&lt;&gt;"Reported",'S.01.01.01'!$D$59&lt;&gt;""),Show!$B$2 &amp; "S.24.01.01.04 Rows{Z}@ForceFilingCode:false","")</f>
        <v/>
      </c>
      <c r="B309" t="str">
        <f>IF(AND(LEFT('S.01.01.01'!$D$59,8)&lt;&gt;"Reported",'S.01.01.01'!$D$59&lt;&gt;""),Show!$B$2&amp; Show!$B$2&amp;"S.24.01.01.04 Rows{Z}@ForceFilingCode:false","")</f>
        <v/>
      </c>
    </row>
    <row r="310" spans="1:2">
      <c r="A310" t="str">
        <f>IF(AND(LEFT('S.01.01.01'!$D$59,8)&lt;&gt;"Reported",'S.01.01.01'!$D$59&lt;&gt;""),Show!$B$2 &amp; "S.24.01.01.05 Rows{Z}@ForceFilingCode:false","")</f>
        <v/>
      </c>
      <c r="B310" t="str">
        <f>IF(AND(LEFT('S.01.01.01'!$D$59,8)&lt;&gt;"Reported",'S.01.01.01'!$D$59&lt;&gt;""),Show!$B$2&amp; Show!$B$2&amp;"S.24.01.01.05 Rows{Z}@ForceFilingCode:false","")</f>
        <v/>
      </c>
    </row>
    <row r="311" spans="1:2">
      <c r="A311" t="str">
        <f>IF(AND(LEFT('S.01.01.01'!$D$59,8)&lt;&gt;"Reported",'S.01.01.01'!$D$59&lt;&gt;""),Show!$B$2 &amp; "S.24.01.01.06 Rows{Z}@ForceFilingCode:false","")</f>
        <v/>
      </c>
      <c r="B311" t="str">
        <f>IF(AND(LEFT('S.01.01.01'!$D$59,8)&lt;&gt;"Reported",'S.01.01.01'!$D$59&lt;&gt;""),Show!$B$2&amp; Show!$B$2&amp;"S.24.01.01.06 Rows{Z}@ForceFilingCode:false","")</f>
        <v/>
      </c>
    </row>
    <row r="312" spans="1:2">
      <c r="A312" t="str">
        <f>IF(AND(LEFT('S.01.01.01'!$D$59,8)&lt;&gt;"Reported",'S.01.01.01'!$D$59&lt;&gt;""),Show!$B$2 &amp; "S.24.01.01.07 Rows{Z}@ForceFilingCode:false","")</f>
        <v/>
      </c>
      <c r="B312" t="str">
        <f>IF(AND(LEFT('S.01.01.01'!$D$59,8)&lt;&gt;"Reported",'S.01.01.01'!$D$59&lt;&gt;""),Show!$B$2&amp; Show!$B$2&amp;"S.24.01.01.07 Rows{Z}@ForceFilingCode:false","")</f>
        <v/>
      </c>
    </row>
    <row r="313" spans="1:2">
      <c r="A313" t="str">
        <f>IF(AND(LEFT('S.01.01.01'!$D$59,8)&lt;&gt;"Reported",'S.01.01.01'!$D$59&lt;&gt;""),Show!$B$2 &amp; "S.24.01.01.08 Rows{Z}@ForceFilingCode:false","")</f>
        <v/>
      </c>
      <c r="B313" t="str">
        <f>IF(AND(LEFT('S.01.01.01'!$D$59,8)&lt;&gt;"Reported",'S.01.01.01'!$D$59&lt;&gt;""),Show!$B$2&amp; Show!$B$2&amp;"S.24.01.01.08 Rows{Z}@ForceFilingCode:false","")</f>
        <v/>
      </c>
    </row>
    <row r="314" spans="1:2">
      <c r="A314" t="str">
        <f>IF(AND(LEFT('S.01.01.01'!$D$59,8)&lt;&gt;"Reported",'S.01.01.01'!$D$59&lt;&gt;""),Show!$B$2 &amp; "S.24.01.01.09 Rows{Z}@ForceFilingCode:false","")</f>
        <v/>
      </c>
      <c r="B314" t="str">
        <f>IF(AND(LEFT('S.01.01.01'!$D$59,8)&lt;&gt;"Reported",'S.01.01.01'!$D$59&lt;&gt;""),Show!$B$2&amp; Show!$B$2&amp;"S.24.01.01.09 Rows{Z}@ForceFilingCode:false","")</f>
        <v/>
      </c>
    </row>
    <row r="315" spans="1:2">
      <c r="A315" t="str">
        <f>IF(AND(LEFT('S.01.01.01'!$D$59,8)&lt;&gt;"Reported",'S.01.01.01'!$D$59&lt;&gt;""),Show!$B$2 &amp; "S.24.01.01.10 Rows{Z}@ForceFilingCode:false","")</f>
        <v/>
      </c>
      <c r="B315" t="str">
        <f>IF(AND(LEFT('S.01.01.01'!$D$59,8)&lt;&gt;"Reported",'S.01.01.01'!$D$59&lt;&gt;""),Show!$B$2&amp; Show!$B$2&amp;"S.24.01.01.10 Rows{Z}@ForceFilingCode:false","")</f>
        <v/>
      </c>
    </row>
    <row r="316" spans="1:2">
      <c r="A316" t="str">
        <f>IF(AND(LEFT('S.01.01.01'!$D$59,8)&lt;&gt;"Reported",'S.01.01.01'!$D$59&lt;&gt;""),Show!$B$2 &amp; "S.24.01.01.11 Rows{Z}@ForceFilingCode:false","")</f>
        <v/>
      </c>
      <c r="B316" t="str">
        <f>IF(AND(LEFT('S.01.01.01'!$D$59,8)&lt;&gt;"Reported",'S.01.01.01'!$D$59&lt;&gt;""),Show!$B$2&amp; Show!$B$2&amp;"S.24.01.01.11 Rows{Z}@ForceFilingCode:false","")</f>
        <v/>
      </c>
    </row>
    <row r="317" spans="1:2">
      <c r="A317" t="str">
        <f>IF(AND(LEFT('S.01.01.01'!$D$60,8)&lt;&gt;"Reported",'S.01.01.01'!$D$60&lt;&gt;""),Show!$B$2 &amp; "S.25.01.01.01 Rows{Z}@ForceFilingCode:false","")</f>
        <v/>
      </c>
      <c r="B317" t="str">
        <f>IF(AND(LEFT('S.01.01.01'!$D$60,8)&lt;&gt;"Reported",'S.01.01.01'!$D$60&lt;&gt;""),Show!$B$2&amp; Show!$B$2&amp;"S.25.01.01.01 Rows{Z}@ForceFilingCode:false","")</f>
        <v/>
      </c>
    </row>
    <row r="318" spans="1:2">
      <c r="A318" t="str">
        <f>IF(AND(LEFT('S.01.01.01'!$D$60,8)&lt;&gt;"Reported",'S.01.01.01'!$D$60&lt;&gt;""),Show!$B$2 &amp; "S.25.01.01.02 Rows{Z}@ForceFilingCode:false","")</f>
        <v/>
      </c>
      <c r="B318" t="str">
        <f>IF(AND(LEFT('S.01.01.01'!$D$60,8)&lt;&gt;"Reported",'S.01.01.01'!$D$60&lt;&gt;""),Show!$B$2&amp; Show!$B$2&amp;"S.25.01.01.02 Rows{Z}@ForceFilingCode:false","")</f>
        <v/>
      </c>
    </row>
    <row r="319" spans="1:2">
      <c r="A319" t="str">
        <f>IF(AND(LEFT('S.01.01.01'!$D$60,8)&lt;&gt;"Reported",'S.01.01.01'!$D$60&lt;&gt;""),Show!$B$2 &amp; "S.25.01.01.03 Rows{Z}@ForceFilingCode:false","")</f>
        <v/>
      </c>
      <c r="B319" t="str">
        <f>IF(AND(LEFT('S.01.01.01'!$D$60,8)&lt;&gt;"Reported",'S.01.01.01'!$D$60&lt;&gt;""),Show!$B$2&amp; Show!$B$2&amp;"S.25.01.01.03 Rows{Z}@ForceFilingCode:false","")</f>
        <v/>
      </c>
    </row>
    <row r="320" spans="1:2">
      <c r="A320" t="str">
        <f>IF(AND(LEFT('S.01.01.01'!$D$60,8)&lt;&gt;"Reported",'S.01.01.01'!$D$60&lt;&gt;""),Show!$B$2 &amp; "S.25.01.01.04 Rows{Z}@ForceFilingCode:false","")</f>
        <v/>
      </c>
      <c r="B320" t="str">
        <f>IF(AND(LEFT('S.01.01.01'!$D$60,8)&lt;&gt;"Reported",'S.01.01.01'!$D$60&lt;&gt;""),Show!$B$2&amp; Show!$B$2&amp;"S.25.01.01.04 Rows{Z}@ForceFilingCode:false","")</f>
        <v/>
      </c>
    </row>
    <row r="321" spans="1:2">
      <c r="A321" t="str">
        <f>IF(AND(LEFT('S.01.01.01'!$D$60,8)&lt;&gt;"Reported",'S.01.01.01'!$D$60&lt;&gt;""),Show!$B$2 &amp; "S.25.01.01.05 Rows{Z}@ForceFilingCode:false","")</f>
        <v/>
      </c>
      <c r="B321" t="str">
        <f>IF(AND(LEFT('S.01.01.01'!$D$60,8)&lt;&gt;"Reported",'S.01.01.01'!$D$60&lt;&gt;""),Show!$B$2&amp; Show!$B$2&amp;"S.25.01.01.05 Rows{Z}@ForceFilingCode:false","")</f>
        <v/>
      </c>
    </row>
    <row r="322" spans="1:2">
      <c r="A322" t="str">
        <f>IF(AND(LEFT('S.01.01.01'!$D$61,8)&lt;&gt;"Reported",'S.01.01.01'!$D$61&lt;&gt;""),Show!$B$2 &amp; "S.25.02.01.01 Rows{Z}@ForceFilingCode:false","")</f>
        <v/>
      </c>
      <c r="B322" t="str">
        <f>IF(AND(LEFT('S.01.01.01'!$D$61,8)&lt;&gt;"Reported",'S.01.01.01'!$D$61&lt;&gt;""),Show!$B$2&amp; Show!$B$2&amp;"S.25.02.01.01 Rows{Z}@ForceFilingCode:false","")</f>
        <v/>
      </c>
    </row>
    <row r="323" spans="1:2">
      <c r="A323" t="str">
        <f>IF(AND(LEFT('S.01.01.01'!$D$61,8)&lt;&gt;"Reported",'S.01.01.01'!$D$61&lt;&gt;""),Show!$B$2 &amp; "S.25.02.01.02 Rows{Z}@ForceFilingCode:false","")</f>
        <v/>
      </c>
      <c r="B323" t="str">
        <f>IF(AND(LEFT('S.01.01.01'!$D$61,8)&lt;&gt;"Reported",'S.01.01.01'!$D$61&lt;&gt;""),Show!$B$2&amp; Show!$B$2&amp;"S.25.02.01.02 Rows{Z}@ForceFilingCode:false","")</f>
        <v/>
      </c>
    </row>
    <row r="324" spans="1:2">
      <c r="A324" t="str">
        <f>IF(AND(LEFT('S.01.01.01'!$D$61,8)&lt;&gt;"Reported",'S.01.01.01'!$D$61&lt;&gt;""),Show!$B$2 &amp; "S.25.02.01.03 Rows{Z}@ForceFilingCode:false","")</f>
        <v/>
      </c>
      <c r="B324" t="str">
        <f>IF(AND(LEFT('S.01.01.01'!$D$61,8)&lt;&gt;"Reported",'S.01.01.01'!$D$61&lt;&gt;""),Show!$B$2&amp; Show!$B$2&amp;"S.25.02.01.03 Rows{Z}@ForceFilingCode:false","")</f>
        <v/>
      </c>
    </row>
    <row r="325" spans="1:2">
      <c r="A325" t="str">
        <f>IF(AND(LEFT('S.01.01.01'!$D$61,8)&lt;&gt;"Reported",'S.01.01.01'!$D$61&lt;&gt;""),Show!$B$2 &amp; "S.25.02.01.04 Rows{Z}@ForceFilingCode:false","")</f>
        <v/>
      </c>
      <c r="B325" t="str">
        <f>IF(AND(LEFT('S.01.01.01'!$D$61,8)&lt;&gt;"Reported",'S.01.01.01'!$D$61&lt;&gt;""),Show!$B$2&amp; Show!$B$2&amp;"S.25.02.01.04 Rows{Z}@ForceFilingCode:false","")</f>
        <v/>
      </c>
    </row>
    <row r="326" spans="1:2">
      <c r="A326" t="str">
        <f>IF(AND(LEFT('S.01.01.01'!$D$61,8)&lt;&gt;"Reported",'S.01.01.01'!$D$61&lt;&gt;""),Show!$B$2 &amp; "S.25.02.01.05 Rows{Z}@ForceFilingCode:false","")</f>
        <v/>
      </c>
      <c r="B326" t="str">
        <f>IF(AND(LEFT('S.01.01.01'!$D$61,8)&lt;&gt;"Reported",'S.01.01.01'!$D$61&lt;&gt;""),Show!$B$2&amp; Show!$B$2&amp;"S.25.02.01.05 Rows{Z}@ForceFilingCode:false","")</f>
        <v/>
      </c>
    </row>
    <row r="327" spans="1:2">
      <c r="A327" t="str">
        <f>IF(AND(LEFT('S.01.01.01'!$D$62,8)&lt;&gt;"Reported",'S.01.01.01'!$D$62&lt;&gt;""),Show!$B$2 &amp; "S.25.03.01.01 Rows{Z}@ForceFilingCode:false","")</f>
        <v/>
      </c>
      <c r="B327" t="str">
        <f>IF(AND(LEFT('S.01.01.01'!$D$62,8)&lt;&gt;"Reported",'S.01.01.01'!$D$62&lt;&gt;""),Show!$B$2&amp; Show!$B$2&amp;"S.25.03.01.01 Rows{Z}@ForceFilingCode:false","")</f>
        <v/>
      </c>
    </row>
    <row r="328" spans="1:2">
      <c r="A328" t="str">
        <f>IF(AND(LEFT('S.01.01.01'!$D$62,8)&lt;&gt;"Reported",'S.01.01.01'!$D$62&lt;&gt;""),Show!$B$2 &amp; "S.25.03.01.02 Rows{Z}@ForceFilingCode:false","")</f>
        <v/>
      </c>
      <c r="B328" t="str">
        <f>IF(AND(LEFT('S.01.01.01'!$D$62,8)&lt;&gt;"Reported",'S.01.01.01'!$D$62&lt;&gt;""),Show!$B$2&amp; Show!$B$2&amp;"S.25.03.01.02 Rows{Z}@ForceFilingCode:false","")</f>
        <v/>
      </c>
    </row>
    <row r="329" spans="1:2">
      <c r="A329" t="str">
        <f>IF(AND(LEFT('S.01.01.01'!$D$62,8)&lt;&gt;"Reported",'S.01.01.01'!$D$62&lt;&gt;""),Show!$B$2 &amp; "S.25.03.01.03 Rows{Z}@ForceFilingCode:false","")</f>
        <v/>
      </c>
      <c r="B329" t="str">
        <f>IF(AND(LEFT('S.01.01.01'!$D$62,8)&lt;&gt;"Reported",'S.01.01.01'!$D$62&lt;&gt;""),Show!$B$2&amp; Show!$B$2&amp;"S.25.03.01.03 Rows{Z}@ForceFilingCode:false","")</f>
        <v/>
      </c>
    </row>
    <row r="330" spans="1:2">
      <c r="A330" t="str">
        <f>IF(AND(LEFT('S.01.01.01'!$D$62,8)&lt;&gt;"Reported",'S.01.01.01'!$D$62&lt;&gt;""),Show!$B$2 &amp; "S.25.03.01.04 Rows{Z}@ForceFilingCode:false","")</f>
        <v/>
      </c>
      <c r="B330" t="str">
        <f>IF(AND(LEFT('S.01.01.01'!$D$62,8)&lt;&gt;"Reported",'S.01.01.01'!$D$62&lt;&gt;""),Show!$B$2&amp; Show!$B$2&amp;"S.25.03.01.04 Rows{Z}@ForceFilingCode:false","")</f>
        <v/>
      </c>
    </row>
    <row r="331" spans="1:2">
      <c r="A331" t="str">
        <f>IF(AND(LEFT('S.01.01.01'!$D$62,8)&lt;&gt;"Reported",'S.01.01.01'!$D$62&lt;&gt;""),Show!$B$2 &amp; "S.25.03.01.05 Rows{Z}@ForceFilingCode:false","")</f>
        <v/>
      </c>
      <c r="B331" t="str">
        <f>IF(AND(LEFT('S.01.01.01'!$D$62,8)&lt;&gt;"Reported",'S.01.01.01'!$D$62&lt;&gt;""),Show!$B$2&amp; Show!$B$2&amp;"S.25.03.01.05 Rows{Z}@ForceFilingCode:false","")</f>
        <v/>
      </c>
    </row>
    <row r="332" spans="1:2">
      <c r="A332" t="str">
        <f>IF(AND(LEFT('S.01.01.01'!$D$63,8)&lt;&gt;"Reported",'S.01.01.01'!$D$63&lt;&gt;""),Show!$B$2 &amp; "S.26.01.01.01 Rows{Z}@ForceFilingCode:false","")</f>
        <v/>
      </c>
      <c r="B332" t="str">
        <f>IF(AND(LEFT('S.01.01.01'!$D$63,8)&lt;&gt;"Reported",'S.01.01.01'!$D$63&lt;&gt;""),Show!$B$2&amp; Show!$B$2&amp;"S.26.01.01.01 Rows{Z}@ForceFilingCode:false","")</f>
        <v/>
      </c>
    </row>
    <row r="333" spans="1:2">
      <c r="A333" t="str">
        <f>IF(AND(LEFT('S.01.01.01'!$D$63,8)&lt;&gt;"Reported",'S.01.01.01'!$D$63&lt;&gt;""),Show!$B$2 &amp; "S.26.01.01.02 Rows{Z}@ForceFilingCode:false","")</f>
        <v/>
      </c>
      <c r="B333" t="str">
        <f>IF(AND(LEFT('S.01.01.01'!$D$63,8)&lt;&gt;"Reported",'S.01.01.01'!$D$63&lt;&gt;""),Show!$B$2&amp; Show!$B$2&amp;"S.26.01.01.02 Rows{Z}@ForceFilingCode:false","")</f>
        <v/>
      </c>
    </row>
    <row r="334" spans="1:2">
      <c r="A334" t="str">
        <f>IF(AND(LEFT('S.01.01.01'!$D$63,8)&lt;&gt;"Reported",'S.01.01.01'!$D$63&lt;&gt;""),Show!$B$2 &amp; "S.26.01.01.03 Rows{Z}@ForceFilingCode:false","")</f>
        <v/>
      </c>
      <c r="B334" t="str">
        <f>IF(AND(LEFT('S.01.01.01'!$D$63,8)&lt;&gt;"Reported",'S.01.01.01'!$D$63&lt;&gt;""),Show!$B$2&amp; Show!$B$2&amp;"S.26.01.01.03 Rows{Z}@ForceFilingCode:false","")</f>
        <v/>
      </c>
    </row>
    <row r="335" spans="1:2">
      <c r="A335" t="str">
        <f>IF(AND(LEFT('S.01.01.01'!$D$64,8)&lt;&gt;"Reported",'S.01.01.01'!$D$64&lt;&gt;""),Show!$B$2 &amp; "S.26.02.01.01 Rows{Z}@ForceFilingCode:false","")</f>
        <v/>
      </c>
      <c r="B335" t="str">
        <f>IF(AND(LEFT('S.01.01.01'!$D$64,8)&lt;&gt;"Reported",'S.01.01.01'!$D$64&lt;&gt;""),Show!$B$2&amp; Show!$B$2&amp;"S.26.02.01.01 Rows{Z}@ForceFilingCode:false","")</f>
        <v/>
      </c>
    </row>
    <row r="336" spans="1:2">
      <c r="A336" t="str">
        <f>IF(AND(LEFT('S.01.01.01'!$D$64,8)&lt;&gt;"Reported",'S.01.01.01'!$D$64&lt;&gt;""),Show!$B$2 &amp; "S.26.02.01.02 Rows{Z}@ForceFilingCode:false","")</f>
        <v/>
      </c>
      <c r="B336" t="str">
        <f>IF(AND(LEFT('S.01.01.01'!$D$64,8)&lt;&gt;"Reported",'S.01.01.01'!$D$64&lt;&gt;""),Show!$B$2&amp; Show!$B$2&amp;"S.26.02.01.02 Rows{Z}@ForceFilingCode:false","")</f>
        <v/>
      </c>
    </row>
    <row r="337" spans="1:2">
      <c r="A337" t="str">
        <f>IF(AND(LEFT('S.01.01.01'!$D$64,8)&lt;&gt;"Reported",'S.01.01.01'!$D$64&lt;&gt;""),Show!$B$2 &amp; "S.26.02.01.03 Rows{Z}@ForceFilingCode:false","")</f>
        <v/>
      </c>
      <c r="B337" t="str">
        <f>IF(AND(LEFT('S.01.01.01'!$D$64,8)&lt;&gt;"Reported",'S.01.01.01'!$D$64&lt;&gt;""),Show!$B$2&amp; Show!$B$2&amp;"S.26.02.01.03 Rows{Z}@ForceFilingCode:false","")</f>
        <v/>
      </c>
    </row>
    <row r="338" spans="1:2">
      <c r="A338" t="str">
        <f>IF(AND(LEFT('S.01.01.01'!$D$65,8)&lt;&gt;"Reported",'S.01.01.01'!$D$65&lt;&gt;""),Show!$B$2 &amp; "S.26.03.01.01 Rows{Z}@ForceFilingCode:false","")</f>
        <v/>
      </c>
      <c r="B338" t="str">
        <f>IF(AND(LEFT('S.01.01.01'!$D$65,8)&lt;&gt;"Reported",'S.01.01.01'!$D$65&lt;&gt;""),Show!$B$2&amp; Show!$B$2&amp;"S.26.03.01.01 Rows{Z}@ForceFilingCode:false","")</f>
        <v/>
      </c>
    </row>
    <row r="339" spans="1:2">
      <c r="A339" t="str">
        <f>IF(AND(LEFT('S.01.01.01'!$D$65,8)&lt;&gt;"Reported",'S.01.01.01'!$D$65&lt;&gt;""),Show!$B$2 &amp; "S.26.03.01.02 Rows{Z}@ForceFilingCode:false","")</f>
        <v/>
      </c>
      <c r="B339" t="str">
        <f>IF(AND(LEFT('S.01.01.01'!$D$65,8)&lt;&gt;"Reported",'S.01.01.01'!$D$65&lt;&gt;""),Show!$B$2&amp; Show!$B$2&amp;"S.26.03.01.02 Rows{Z}@ForceFilingCode:false","")</f>
        <v/>
      </c>
    </row>
    <row r="340" spans="1:2">
      <c r="A340" t="str">
        <f>IF(AND(LEFT('S.01.01.01'!$D$65,8)&lt;&gt;"Reported",'S.01.01.01'!$D$65&lt;&gt;""),Show!$B$2 &amp; "S.26.03.01.03 Rows{Z}@ForceFilingCode:false","")</f>
        <v/>
      </c>
      <c r="B340" t="str">
        <f>IF(AND(LEFT('S.01.01.01'!$D$65,8)&lt;&gt;"Reported",'S.01.01.01'!$D$65&lt;&gt;""),Show!$B$2&amp; Show!$B$2&amp;"S.26.03.01.03 Rows{Z}@ForceFilingCode:false","")</f>
        <v/>
      </c>
    </row>
    <row r="341" spans="1:2">
      <c r="A341" t="str">
        <f>IF(AND(LEFT('S.01.01.01'!$D$65,8)&lt;&gt;"Reported",'S.01.01.01'!$D$65&lt;&gt;""),Show!$B$2 &amp; "S.26.03.01.04 Rows{Z}@ForceFilingCode:false","")</f>
        <v/>
      </c>
      <c r="B341" t="str">
        <f>IF(AND(LEFT('S.01.01.01'!$D$65,8)&lt;&gt;"Reported",'S.01.01.01'!$D$65&lt;&gt;""),Show!$B$2&amp; Show!$B$2&amp;"S.26.03.01.04 Rows{Z}@ForceFilingCode:false","")</f>
        <v/>
      </c>
    </row>
    <row r="342" spans="1:2">
      <c r="A342" t="str">
        <f>IF(AND(LEFT('S.01.01.01'!$D$66,8)&lt;&gt;"Reported",'S.01.01.01'!$D$66&lt;&gt;""),Show!$B$2 &amp; "S.26.04.01.01 Rows{Z}@ForceFilingCode:false","")</f>
        <v/>
      </c>
      <c r="B342" t="str">
        <f>IF(AND(LEFT('S.01.01.01'!$D$66,8)&lt;&gt;"Reported",'S.01.01.01'!$D$66&lt;&gt;""),Show!$B$2&amp; Show!$B$2&amp;"S.26.04.01.01 Rows{Z}@ForceFilingCode:false","")</f>
        <v/>
      </c>
    </row>
    <row r="343" spans="1:2">
      <c r="A343" t="str">
        <f>IF(AND(LEFT('S.01.01.01'!$D$66,8)&lt;&gt;"Reported",'S.01.01.01'!$D$66&lt;&gt;""),Show!$B$2 &amp; "S.26.04.01.02 Rows{Z}@ForceFilingCode:false","")</f>
        <v/>
      </c>
      <c r="B343" t="str">
        <f>IF(AND(LEFT('S.01.01.01'!$D$66,8)&lt;&gt;"Reported",'S.01.01.01'!$D$66&lt;&gt;""),Show!$B$2&amp; Show!$B$2&amp;"S.26.04.01.02 Rows{Z}@ForceFilingCode:false","")</f>
        <v/>
      </c>
    </row>
    <row r="344" spans="1:2">
      <c r="A344" t="str">
        <f>IF(AND(LEFT('S.01.01.01'!$D$66,8)&lt;&gt;"Reported",'S.01.01.01'!$D$66&lt;&gt;""),Show!$B$2 &amp; "S.26.04.01.03 Rows{Z}@ForceFilingCode:false","")</f>
        <v/>
      </c>
      <c r="B344" t="str">
        <f>IF(AND(LEFT('S.01.01.01'!$D$66,8)&lt;&gt;"Reported",'S.01.01.01'!$D$66&lt;&gt;""),Show!$B$2&amp; Show!$B$2&amp;"S.26.04.01.03 Rows{Z}@ForceFilingCode:false","")</f>
        <v/>
      </c>
    </row>
    <row r="345" spans="1:2">
      <c r="A345" t="str">
        <f>IF(AND(LEFT('S.01.01.01'!$D$66,8)&lt;&gt;"Reported",'S.01.01.01'!$D$66&lt;&gt;""),Show!$B$2 &amp; "S.26.04.01.04 Rows{Z}@ForceFilingCode:false","")</f>
        <v/>
      </c>
      <c r="B345" t="str">
        <f>IF(AND(LEFT('S.01.01.01'!$D$66,8)&lt;&gt;"Reported",'S.01.01.01'!$D$66&lt;&gt;""),Show!$B$2&amp; Show!$B$2&amp;"S.26.04.01.04 Rows{Z}@ForceFilingCode:false","")</f>
        <v/>
      </c>
    </row>
    <row r="346" spans="1:2">
      <c r="A346" t="str">
        <f>IF(AND(LEFT('S.01.01.01'!$D$66,8)&lt;&gt;"Reported",'S.01.01.01'!$D$66&lt;&gt;""),Show!$B$2 &amp; "S.26.04.01.05 Rows{Z}@ForceFilingCode:false","")</f>
        <v/>
      </c>
      <c r="B346" t="str">
        <f>IF(AND(LEFT('S.01.01.01'!$D$66,8)&lt;&gt;"Reported",'S.01.01.01'!$D$66&lt;&gt;""),Show!$B$2&amp; Show!$B$2&amp;"S.26.04.01.05 Rows{Z}@ForceFilingCode:false","")</f>
        <v/>
      </c>
    </row>
    <row r="347" spans="1:2">
      <c r="A347" t="str">
        <f>IF(AND(LEFT('S.01.01.01'!$D$66,8)&lt;&gt;"Reported",'S.01.01.01'!$D$66&lt;&gt;""),Show!$B$2 &amp; "S.26.04.01.06 Rows{Z}@ForceFilingCode:false","")</f>
        <v/>
      </c>
      <c r="B347" t="str">
        <f>IF(AND(LEFT('S.01.01.01'!$D$66,8)&lt;&gt;"Reported",'S.01.01.01'!$D$66&lt;&gt;""),Show!$B$2&amp; Show!$B$2&amp;"S.26.04.01.06 Rows{Z}@ForceFilingCode:false","")</f>
        <v/>
      </c>
    </row>
    <row r="348" spans="1:2">
      <c r="A348" t="str">
        <f>IF(AND(LEFT('S.01.01.01'!$D$66,8)&lt;&gt;"Reported",'S.01.01.01'!$D$66&lt;&gt;""),Show!$B$2 &amp; "S.26.04.01.07 Rows{Z}@ForceFilingCode:false","")</f>
        <v/>
      </c>
      <c r="B348" t="str">
        <f>IF(AND(LEFT('S.01.01.01'!$D$66,8)&lt;&gt;"Reported",'S.01.01.01'!$D$66&lt;&gt;""),Show!$B$2&amp; Show!$B$2&amp;"S.26.04.01.07 Rows{Z}@ForceFilingCode:false","")</f>
        <v/>
      </c>
    </row>
    <row r="349" spans="1:2">
      <c r="A349" t="str">
        <f>IF(AND(LEFT('S.01.01.01'!$D$66,8)&lt;&gt;"Reported",'S.01.01.01'!$D$66&lt;&gt;""),Show!$B$2 &amp; "S.26.04.01.08 Rows{Z}@ForceFilingCode:false","")</f>
        <v/>
      </c>
      <c r="B349" t="str">
        <f>IF(AND(LEFT('S.01.01.01'!$D$66,8)&lt;&gt;"Reported",'S.01.01.01'!$D$66&lt;&gt;""),Show!$B$2&amp; Show!$B$2&amp;"S.26.04.01.08 Rows{Z}@ForceFilingCode:false","")</f>
        <v/>
      </c>
    </row>
    <row r="350" spans="1:2">
      <c r="A350" t="str">
        <f>IF(AND(LEFT('S.01.01.01'!$D$66,8)&lt;&gt;"Reported",'S.01.01.01'!$D$66&lt;&gt;""),Show!$B$2 &amp; "S.26.04.01.09 Rows{Z}@ForceFilingCode:false","")</f>
        <v/>
      </c>
      <c r="B350" t="str">
        <f>IF(AND(LEFT('S.01.01.01'!$D$66,8)&lt;&gt;"Reported",'S.01.01.01'!$D$66&lt;&gt;""),Show!$B$2&amp; Show!$B$2&amp;"S.26.04.01.09 Rows{Z}@ForceFilingCode:false","")</f>
        <v/>
      </c>
    </row>
    <row r="351" spans="1:2">
      <c r="A351" t="str">
        <f>IF(AND(LEFT('S.01.01.01'!$D$67,8)&lt;&gt;"Reported",'S.01.01.01'!$D$67&lt;&gt;""),Show!$B$2 &amp; "S.26.05.01.01 Rows{Z}@ForceFilingCode:false","")</f>
        <v/>
      </c>
      <c r="B351" t="str">
        <f>IF(AND(LEFT('S.01.01.01'!$D$67,8)&lt;&gt;"Reported",'S.01.01.01'!$D$67&lt;&gt;""),Show!$B$2&amp; Show!$B$2&amp;"S.26.05.01.01 Rows{Z}@ForceFilingCode:false","")</f>
        <v/>
      </c>
    </row>
    <row r="352" spans="1:2">
      <c r="A352" t="str">
        <f>IF(AND(LEFT('S.01.01.01'!$D$67,8)&lt;&gt;"Reported",'S.01.01.01'!$D$67&lt;&gt;""),Show!$B$2 &amp; "S.26.05.01.02 Rows{Z}@ForceFilingCode:false","")</f>
        <v/>
      </c>
      <c r="B352" t="str">
        <f>IF(AND(LEFT('S.01.01.01'!$D$67,8)&lt;&gt;"Reported",'S.01.01.01'!$D$67&lt;&gt;""),Show!$B$2&amp; Show!$B$2&amp;"S.26.05.01.02 Rows{Z}@ForceFilingCode:false","")</f>
        <v/>
      </c>
    </row>
    <row r="353" spans="1:2">
      <c r="A353" t="str">
        <f>IF(AND(LEFT('S.01.01.01'!$D$67,8)&lt;&gt;"Reported",'S.01.01.01'!$D$67&lt;&gt;""),Show!$B$2 &amp; "S.26.05.01.03 Rows{Z}@ForceFilingCode:false","")</f>
        <v/>
      </c>
      <c r="B353" t="str">
        <f>IF(AND(LEFT('S.01.01.01'!$D$67,8)&lt;&gt;"Reported",'S.01.01.01'!$D$67&lt;&gt;""),Show!$B$2&amp; Show!$B$2&amp;"S.26.05.01.03 Rows{Z}@ForceFilingCode:false","")</f>
        <v/>
      </c>
    </row>
    <row r="354" spans="1:2">
      <c r="A354" t="str">
        <f>IF(AND(LEFT('S.01.01.01'!$D$67,8)&lt;&gt;"Reported",'S.01.01.01'!$D$67&lt;&gt;""),Show!$B$2 &amp; "S.26.05.01.04 Rows{Z}@ForceFilingCode:false","")</f>
        <v/>
      </c>
      <c r="B354" t="str">
        <f>IF(AND(LEFT('S.01.01.01'!$D$67,8)&lt;&gt;"Reported",'S.01.01.01'!$D$67&lt;&gt;""),Show!$B$2&amp; Show!$B$2&amp;"S.26.05.01.04 Rows{Z}@ForceFilingCode:false","")</f>
        <v/>
      </c>
    </row>
    <row r="355" spans="1:2">
      <c r="A355" t="str">
        <f>IF(AND(LEFT('S.01.01.01'!$D$67,8)&lt;&gt;"Reported",'S.01.01.01'!$D$67&lt;&gt;""),Show!$B$2 &amp; "S.26.05.01.05 Rows{Z}@ForceFilingCode:false","")</f>
        <v/>
      </c>
      <c r="B355" t="str">
        <f>IF(AND(LEFT('S.01.01.01'!$D$67,8)&lt;&gt;"Reported",'S.01.01.01'!$D$67&lt;&gt;""),Show!$B$2&amp; Show!$B$2&amp;"S.26.05.01.05 Rows{Z}@ForceFilingCode:false","")</f>
        <v/>
      </c>
    </row>
    <row r="356" spans="1:2">
      <c r="A356" t="str">
        <f>IF(AND(LEFT('S.01.01.01'!$D$68,8)&lt;&gt;"Reported",'S.01.01.01'!$D$68&lt;&gt;""),Show!$B$2 &amp; "S.26.06.01.01 Rows{Z}@ForceFilingCode:false","")</f>
        <v/>
      </c>
      <c r="B356" t="str">
        <f>IF(AND(LEFT('S.01.01.01'!$D$68,8)&lt;&gt;"Reported",'S.01.01.01'!$D$68&lt;&gt;""),Show!$B$2&amp; Show!$B$2&amp;"S.26.06.01.01 Rows{Z}@ForceFilingCode:false","")</f>
        <v/>
      </c>
    </row>
    <row r="357" spans="1:2">
      <c r="A357" t="str">
        <f>IF(AND(LEFT('S.01.01.01'!$D$69,8)&lt;&gt;"Reported",'S.01.01.01'!$D$69&lt;&gt;""),Show!$B$2 &amp; "S.26.07.01.01 Rows{Z}@ForceFilingCode:false","")</f>
        <v/>
      </c>
      <c r="B357" t="str">
        <f>IF(AND(LEFT('S.01.01.01'!$D$69,8)&lt;&gt;"Reported",'S.01.01.01'!$D$69&lt;&gt;""),Show!$B$2&amp; Show!$B$2&amp;"S.26.07.01.01 Rows{Z}@ForceFilingCode:false","")</f>
        <v/>
      </c>
    </row>
    <row r="358" spans="1:2">
      <c r="A358" t="str">
        <f>IF(AND(LEFT('S.01.01.01'!$D$69,8)&lt;&gt;"Reported",'S.01.01.01'!$D$69&lt;&gt;""),Show!$B$2 &amp; "S.26.07.01.02 Rows{Z}@ForceFilingCode:false","")</f>
        <v/>
      </c>
      <c r="B358" t="str">
        <f>IF(AND(LEFT('S.01.01.01'!$D$69,8)&lt;&gt;"Reported",'S.01.01.01'!$D$69&lt;&gt;""),Show!$B$2&amp; Show!$B$2&amp;"S.26.07.01.02 Rows{Z}@ForceFilingCode:false","")</f>
        <v/>
      </c>
    </row>
    <row r="359" spans="1:2">
      <c r="A359" t="str">
        <f>IF(AND(LEFT('S.01.01.01'!$D$69,8)&lt;&gt;"Reported",'S.01.01.01'!$D$69&lt;&gt;""),Show!$B$2 &amp; "S.26.07.01.03 Rows{Z}@ForceFilingCode:false","")</f>
        <v/>
      </c>
      <c r="B359" t="str">
        <f>IF(AND(LEFT('S.01.01.01'!$D$69,8)&lt;&gt;"Reported",'S.01.01.01'!$D$69&lt;&gt;""),Show!$B$2&amp; Show!$B$2&amp;"S.26.07.01.03 Rows{Z}@ForceFilingCode:false","")</f>
        <v/>
      </c>
    </row>
    <row r="360" spans="1:2">
      <c r="A360" t="str">
        <f>IF(AND(LEFT('S.01.01.01'!$D$69,8)&lt;&gt;"Reported",'S.01.01.01'!$D$69&lt;&gt;""),Show!$B$2 &amp; "S.26.07.01.04 Rows{Z}@ForceFilingCode:false","")</f>
        <v/>
      </c>
      <c r="B360" t="str">
        <f>IF(AND(LEFT('S.01.01.01'!$D$69,8)&lt;&gt;"Reported",'S.01.01.01'!$D$69&lt;&gt;""),Show!$B$2&amp; Show!$B$2&amp;"S.26.07.01.04 Rows{Z}@ForceFilingCode:false","")</f>
        <v/>
      </c>
    </row>
    <row r="361" spans="1:2">
      <c r="A361" t="str">
        <f>IF(AND(LEFT('S.01.01.01'!$D$69,8)&lt;&gt;"Reported",'S.01.01.01'!$D$69&lt;&gt;""),Show!$B$2 &amp; "S.26.07.01.05 Rows{Z}@ForceFilingCode:false","")</f>
        <v/>
      </c>
      <c r="B361" t="str">
        <f>IF(AND(LEFT('S.01.01.01'!$D$69,8)&lt;&gt;"Reported",'S.01.01.01'!$D$69&lt;&gt;""),Show!$B$2&amp; Show!$B$2&amp;"S.26.07.01.05 Rows{Z}@ForceFilingCode:false","")</f>
        <v/>
      </c>
    </row>
    <row r="362" spans="1:2">
      <c r="A362" t="str">
        <f>IF(AND(LEFT('S.01.01.01'!$D$69,8)&lt;&gt;"Reported",'S.01.01.01'!$D$69&lt;&gt;""),Show!$B$2 &amp; "S.26.07.01.06 Rows{Z}@ForceFilingCode:false","")</f>
        <v/>
      </c>
      <c r="B362" t="str">
        <f>IF(AND(LEFT('S.01.01.01'!$D$69,8)&lt;&gt;"Reported",'S.01.01.01'!$D$69&lt;&gt;""),Show!$B$2&amp; Show!$B$2&amp;"S.26.07.01.06 Rows{Z}@ForceFilingCode:false","")</f>
        <v/>
      </c>
    </row>
    <row r="363" spans="1:2">
      <c r="A363" t="str">
        <f>IF(AND(LEFT('S.01.01.01'!$D$70,8)&lt;&gt;"Reported",'S.01.01.01'!$D$70&lt;&gt;""),Show!$B$2 &amp; "S.27.01.01.01 Rows{Z}@ForceFilingCode:false","")</f>
        <v/>
      </c>
      <c r="B363" t="str">
        <f>IF(AND(LEFT('S.01.01.01'!$D$70,8)&lt;&gt;"Reported",'S.01.01.01'!$D$70&lt;&gt;""),Show!$B$2&amp; Show!$B$2&amp;"S.27.01.01.01 Rows{Z}@ForceFilingCode:false","")</f>
        <v/>
      </c>
    </row>
    <row r="364" spans="1:2">
      <c r="A364" t="str">
        <f>IF(AND(LEFT('S.01.01.01'!$D$70,8)&lt;&gt;"Reported",'S.01.01.01'!$D$70&lt;&gt;""),Show!$B$2 &amp; "S.27.01.01.02 Rows{Z}@ForceFilingCode:false","")</f>
        <v/>
      </c>
      <c r="B364" t="str">
        <f>IF(AND(LEFT('S.01.01.01'!$D$70,8)&lt;&gt;"Reported",'S.01.01.01'!$D$70&lt;&gt;""),Show!$B$2&amp; Show!$B$2&amp;"S.27.01.01.02 Rows{Z}@ForceFilingCode:false","")</f>
        <v/>
      </c>
    </row>
    <row r="365" spans="1:2">
      <c r="A365" t="str">
        <f>IF(AND(LEFT('S.01.01.01'!$D$70,8)&lt;&gt;"Reported",'S.01.01.01'!$D$70&lt;&gt;""),Show!$B$2 &amp; "S.27.01.01.03 Rows{Z}@ForceFilingCode:false","")</f>
        <v/>
      </c>
      <c r="B365" t="str">
        <f>IF(AND(LEFT('S.01.01.01'!$D$70,8)&lt;&gt;"Reported",'S.01.01.01'!$D$70&lt;&gt;""),Show!$B$2&amp; Show!$B$2&amp;"S.27.01.01.03 Rows{Z}@ForceFilingCode:false","")</f>
        <v/>
      </c>
    </row>
    <row r="366" spans="1:2">
      <c r="A366" t="str">
        <f>IF(AND(LEFT('S.01.01.01'!$D$70,8)&lt;&gt;"Reported",'S.01.01.01'!$D$70&lt;&gt;""),Show!$B$2 &amp; "S.27.01.01.04 Rows{Z}@ForceFilingCode:false","")</f>
        <v/>
      </c>
      <c r="B366" t="str">
        <f>IF(AND(LEFT('S.01.01.01'!$D$70,8)&lt;&gt;"Reported",'S.01.01.01'!$D$70&lt;&gt;""),Show!$B$2&amp; Show!$B$2&amp;"S.27.01.01.04 Rows{Z}@ForceFilingCode:false","")</f>
        <v/>
      </c>
    </row>
    <row r="367" spans="1:2">
      <c r="A367" t="str">
        <f>IF(AND(LEFT('S.01.01.01'!$D$70,8)&lt;&gt;"Reported",'S.01.01.01'!$D$70&lt;&gt;""),Show!$B$2 &amp; "S.27.01.01.05 Rows{Z}@ForceFilingCode:false","")</f>
        <v/>
      </c>
      <c r="B367" t="str">
        <f>IF(AND(LEFT('S.01.01.01'!$D$70,8)&lt;&gt;"Reported",'S.01.01.01'!$D$70&lt;&gt;""),Show!$B$2&amp; Show!$B$2&amp;"S.27.01.01.05 Rows{Z}@ForceFilingCode:false","")</f>
        <v/>
      </c>
    </row>
    <row r="368" spans="1:2">
      <c r="A368" t="str">
        <f>IF(AND(LEFT('S.01.01.01'!$D$70,8)&lt;&gt;"Reported",'S.01.01.01'!$D$70&lt;&gt;""),Show!$B$2 &amp; "S.27.01.01.06 Rows{Z}@ForceFilingCode:false","")</f>
        <v/>
      </c>
      <c r="B368" t="str">
        <f>IF(AND(LEFT('S.01.01.01'!$D$70,8)&lt;&gt;"Reported",'S.01.01.01'!$D$70&lt;&gt;""),Show!$B$2&amp; Show!$B$2&amp;"S.27.01.01.06 Rows{Z}@ForceFilingCode:false","")</f>
        <v/>
      </c>
    </row>
    <row r="369" spans="1:2">
      <c r="A369" t="str">
        <f>IF(AND(LEFT('S.01.01.01'!$D$70,8)&lt;&gt;"Reported",'S.01.01.01'!$D$70&lt;&gt;""),Show!$B$2 &amp; "S.27.01.01.07 Rows{Z}@ForceFilingCode:false","")</f>
        <v/>
      </c>
      <c r="B369" t="str">
        <f>IF(AND(LEFT('S.01.01.01'!$D$70,8)&lt;&gt;"Reported",'S.01.01.01'!$D$70&lt;&gt;""),Show!$B$2&amp; Show!$B$2&amp;"S.27.01.01.07 Rows{Z}@ForceFilingCode:false","")</f>
        <v/>
      </c>
    </row>
    <row r="370" spans="1:2">
      <c r="A370" t="str">
        <f>IF(AND(LEFT('S.01.01.01'!$D$70,8)&lt;&gt;"Reported",'S.01.01.01'!$D$70&lt;&gt;""),Show!$B$2 &amp; "S.27.01.01.08 Rows{Z}@ForceFilingCode:false","")</f>
        <v/>
      </c>
      <c r="B370" t="str">
        <f>IF(AND(LEFT('S.01.01.01'!$D$70,8)&lt;&gt;"Reported",'S.01.01.01'!$D$70&lt;&gt;""),Show!$B$2&amp; Show!$B$2&amp;"S.27.01.01.08 Rows{Z}@ForceFilingCode:false","")</f>
        <v/>
      </c>
    </row>
    <row r="371" spans="1:2">
      <c r="A371" t="str">
        <f>IF(AND(LEFT('S.01.01.01'!$D$70,8)&lt;&gt;"Reported",'S.01.01.01'!$D$70&lt;&gt;""),Show!$B$2 &amp; "S.27.01.01.09 Rows{Z}@ForceFilingCode:false","")</f>
        <v/>
      </c>
      <c r="B371" t="str">
        <f>IF(AND(LEFT('S.01.01.01'!$D$70,8)&lt;&gt;"Reported",'S.01.01.01'!$D$70&lt;&gt;""),Show!$B$2&amp; Show!$B$2&amp;"S.27.01.01.09 Rows{Z}@ForceFilingCode:false","")</f>
        <v/>
      </c>
    </row>
    <row r="372" spans="1:2">
      <c r="A372" t="str">
        <f>IF(AND(LEFT('S.01.01.01'!$D$70,8)&lt;&gt;"Reported",'S.01.01.01'!$D$70&lt;&gt;""),Show!$B$2 &amp; "S.27.01.01.10 Rows{Z}@ForceFilingCode:false","")</f>
        <v/>
      </c>
      <c r="B372" t="str">
        <f>IF(AND(LEFT('S.01.01.01'!$D$70,8)&lt;&gt;"Reported",'S.01.01.01'!$D$70&lt;&gt;""),Show!$B$2&amp; Show!$B$2&amp;"S.27.01.01.10 Rows{Z}@ForceFilingCode:false","")</f>
        <v/>
      </c>
    </row>
    <row r="373" spans="1:2">
      <c r="A373" t="str">
        <f>IF(AND(LEFT('S.01.01.01'!$D$70,8)&lt;&gt;"Reported",'S.01.01.01'!$D$70&lt;&gt;""),Show!$B$2 &amp; "S.27.01.01.11 Rows{Z}@ForceFilingCode:false","")</f>
        <v/>
      </c>
      <c r="B373" t="str">
        <f>IF(AND(LEFT('S.01.01.01'!$D$70,8)&lt;&gt;"Reported",'S.01.01.01'!$D$70&lt;&gt;""),Show!$B$2&amp; Show!$B$2&amp;"S.27.01.01.11 Rows{Z}@ForceFilingCode:false","")</f>
        <v/>
      </c>
    </row>
    <row r="374" spans="1:2">
      <c r="A374" t="str">
        <f>IF(AND(LEFT('S.01.01.01'!$D$70,8)&lt;&gt;"Reported",'S.01.01.01'!$D$70&lt;&gt;""),Show!$B$2 &amp; "S.27.01.01.12 Rows{Z}@ForceFilingCode:false","")</f>
        <v/>
      </c>
      <c r="B374" t="str">
        <f>IF(AND(LEFT('S.01.01.01'!$D$70,8)&lt;&gt;"Reported",'S.01.01.01'!$D$70&lt;&gt;""),Show!$B$2&amp; Show!$B$2&amp;"S.27.01.01.12 Rows{Z}@ForceFilingCode:false","")</f>
        <v/>
      </c>
    </row>
    <row r="375" spans="1:2">
      <c r="A375" t="str">
        <f>IF(AND(LEFT('S.01.01.01'!$D$70,8)&lt;&gt;"Reported",'S.01.01.01'!$D$70&lt;&gt;""),Show!$B$2 &amp; "S.27.01.01.13 Rows{Z}@ForceFilingCode:false","")</f>
        <v/>
      </c>
      <c r="B375" t="str">
        <f>IF(AND(LEFT('S.01.01.01'!$D$70,8)&lt;&gt;"Reported",'S.01.01.01'!$D$70&lt;&gt;""),Show!$B$2&amp; Show!$B$2&amp;"S.27.01.01.13 Rows{Z}@ForceFilingCode:false","")</f>
        <v/>
      </c>
    </row>
    <row r="376" spans="1:2">
      <c r="A376" t="str">
        <f>IF(AND(LEFT('S.01.01.01'!$D$70,8)&lt;&gt;"Reported",'S.01.01.01'!$D$70&lt;&gt;""),Show!$B$2 &amp; "S.27.01.01.14 Rows{Z}@ForceFilingCode:false","")</f>
        <v/>
      </c>
      <c r="B376" t="str">
        <f>IF(AND(LEFT('S.01.01.01'!$D$70,8)&lt;&gt;"Reported",'S.01.01.01'!$D$70&lt;&gt;""),Show!$B$2&amp; Show!$B$2&amp;"S.27.01.01.14 Rows{Z}@ForceFilingCode:false","")</f>
        <v/>
      </c>
    </row>
    <row r="377" spans="1:2">
      <c r="A377" t="str">
        <f>IF(AND(LEFT('S.01.01.01'!$D$70,8)&lt;&gt;"Reported",'S.01.01.01'!$D$70&lt;&gt;""),Show!$B$2 &amp; "S.27.01.01.15 Rows{Z}@ForceFilingCode:false","")</f>
        <v/>
      </c>
      <c r="B377" t="str">
        <f>IF(AND(LEFT('S.01.01.01'!$D$70,8)&lt;&gt;"Reported",'S.01.01.01'!$D$70&lt;&gt;""),Show!$B$2&amp; Show!$B$2&amp;"S.27.01.01.15 Rows{Z}@ForceFilingCode:false","")</f>
        <v/>
      </c>
    </row>
    <row r="378" spans="1:2">
      <c r="A378" t="str">
        <f>IF(AND(LEFT('S.01.01.01'!$D$70,8)&lt;&gt;"Reported",'S.01.01.01'!$D$70&lt;&gt;""),Show!$B$2 &amp; "S.27.01.01.16 Rows{Z}@ForceFilingCode:false","")</f>
        <v/>
      </c>
      <c r="B378" t="str">
        <f>IF(AND(LEFT('S.01.01.01'!$D$70,8)&lt;&gt;"Reported",'S.01.01.01'!$D$70&lt;&gt;""),Show!$B$2&amp; Show!$B$2&amp;"S.27.01.01.16 Rows{Z}@ForceFilingCode:false","")</f>
        <v/>
      </c>
    </row>
    <row r="379" spans="1:2">
      <c r="A379" t="str">
        <f>IF(AND(LEFT('S.01.01.01'!$D$70,8)&lt;&gt;"Reported",'S.01.01.01'!$D$70&lt;&gt;""),Show!$B$2 &amp; "S.27.01.01.17 Rows{Z}@ForceFilingCode:false","")</f>
        <v/>
      </c>
      <c r="B379" t="str">
        <f>IF(AND(LEFT('S.01.01.01'!$D$70,8)&lt;&gt;"Reported",'S.01.01.01'!$D$70&lt;&gt;""),Show!$B$2&amp; Show!$B$2&amp;"S.27.01.01.17 Rows{Z}@ForceFilingCode:false","")</f>
        <v/>
      </c>
    </row>
    <row r="380" spans="1:2">
      <c r="A380" t="str">
        <f>IF(AND(LEFT('S.01.01.01'!$D$70,8)&lt;&gt;"Reported",'S.01.01.01'!$D$70&lt;&gt;""),Show!$B$2 &amp; "S.27.01.01.18 Rows{Z}@ForceFilingCode:false","")</f>
        <v/>
      </c>
      <c r="B380" t="str">
        <f>IF(AND(LEFT('S.01.01.01'!$D$70,8)&lt;&gt;"Reported",'S.01.01.01'!$D$70&lt;&gt;""),Show!$B$2&amp; Show!$B$2&amp;"S.27.01.01.18 Rows{Z}@ForceFilingCode:false","")</f>
        <v/>
      </c>
    </row>
    <row r="381" spans="1:2">
      <c r="A381" t="str">
        <f>IF(AND(LEFT('S.01.01.01'!$D$70,8)&lt;&gt;"Reported",'S.01.01.01'!$D$70&lt;&gt;""),Show!$B$2 &amp; "S.27.01.01.19 Rows{Z}@ForceFilingCode:false","")</f>
        <v/>
      </c>
      <c r="B381" t="str">
        <f>IF(AND(LEFT('S.01.01.01'!$D$70,8)&lt;&gt;"Reported",'S.01.01.01'!$D$70&lt;&gt;""),Show!$B$2&amp; Show!$B$2&amp;"S.27.01.01.19 Rows{Z}@ForceFilingCode:false","")</f>
        <v/>
      </c>
    </row>
    <row r="382" spans="1:2">
      <c r="A382" t="str">
        <f>IF(AND(LEFT('S.01.01.01'!$D$70,8)&lt;&gt;"Reported",'S.01.01.01'!$D$70&lt;&gt;""),Show!$B$2 &amp; "S.27.01.01.20 Rows{Z}@ForceFilingCode:false","")</f>
        <v/>
      </c>
      <c r="B382" t="str">
        <f>IF(AND(LEFT('S.01.01.01'!$D$70,8)&lt;&gt;"Reported",'S.01.01.01'!$D$70&lt;&gt;""),Show!$B$2&amp; Show!$B$2&amp;"S.27.01.01.20 Rows{Z}@ForceFilingCode:false","")</f>
        <v/>
      </c>
    </row>
    <row r="383" spans="1:2">
      <c r="A383" t="str">
        <f>IF(AND(LEFT('S.01.01.01'!$D$70,8)&lt;&gt;"Reported",'S.01.01.01'!$D$70&lt;&gt;""),Show!$B$2 &amp; "S.27.01.01.21 Rows{Z}@ForceFilingCode:false","")</f>
        <v/>
      </c>
      <c r="B383" t="str">
        <f>IF(AND(LEFT('S.01.01.01'!$D$70,8)&lt;&gt;"Reported",'S.01.01.01'!$D$70&lt;&gt;""),Show!$B$2&amp; Show!$B$2&amp;"S.27.01.01.21 Rows{Z}@ForceFilingCode:false","")</f>
        <v/>
      </c>
    </row>
    <row r="384" spans="1:2">
      <c r="A384" t="str">
        <f>IF(AND(LEFT('S.01.01.01'!$D$70,8)&lt;&gt;"Reported",'S.01.01.01'!$D$70&lt;&gt;""),Show!$B$2 &amp; "S.27.01.01.22 Rows{Z}@ForceFilingCode:false","")</f>
        <v/>
      </c>
      <c r="B384" t="str">
        <f>IF(AND(LEFT('S.01.01.01'!$D$70,8)&lt;&gt;"Reported",'S.01.01.01'!$D$70&lt;&gt;""),Show!$B$2&amp; Show!$B$2&amp;"S.27.01.01.22 Rows{Z}@ForceFilingCode:false","")</f>
        <v/>
      </c>
    </row>
    <row r="385" spans="1:2">
      <c r="A385" t="str">
        <f>IF(AND(LEFT('S.01.01.01'!$D$70,8)&lt;&gt;"Reported",'S.01.01.01'!$D$70&lt;&gt;""),Show!$B$2 &amp; "S.27.01.01.23 Rows{Z}@ForceFilingCode:false","")</f>
        <v/>
      </c>
      <c r="B385" t="str">
        <f>IF(AND(LEFT('S.01.01.01'!$D$70,8)&lt;&gt;"Reported",'S.01.01.01'!$D$70&lt;&gt;""),Show!$B$2&amp; Show!$B$2&amp;"S.27.01.01.23 Rows{Z}@ForceFilingCode:false","")</f>
        <v/>
      </c>
    </row>
    <row r="386" spans="1:2">
      <c r="A386" t="str">
        <f>IF(AND(LEFT('S.01.01.01'!$D$70,8)&lt;&gt;"Reported",'S.01.01.01'!$D$70&lt;&gt;""),Show!$B$2 &amp; "S.27.01.01.24 Rows{Z}@ForceFilingCode:false","")</f>
        <v/>
      </c>
      <c r="B386" t="str">
        <f>IF(AND(LEFT('S.01.01.01'!$D$70,8)&lt;&gt;"Reported",'S.01.01.01'!$D$70&lt;&gt;""),Show!$B$2&amp; Show!$B$2&amp;"S.27.01.01.24 Rows{Z}@ForceFilingCode:false","")</f>
        <v/>
      </c>
    </row>
    <row r="387" spans="1:2">
      <c r="A387" t="str">
        <f>IF(AND(LEFT('S.01.01.01'!$D$70,8)&lt;&gt;"Reported",'S.01.01.01'!$D$70&lt;&gt;""),Show!$B$2 &amp; "S.27.01.01.25 Rows{Z}@ForceFilingCode:false","")</f>
        <v/>
      </c>
      <c r="B387" t="str">
        <f>IF(AND(LEFT('S.01.01.01'!$D$70,8)&lt;&gt;"Reported",'S.01.01.01'!$D$70&lt;&gt;""),Show!$B$2&amp; Show!$B$2&amp;"S.27.01.01.25 Rows{Z}@ForceFilingCode:false","")</f>
        <v/>
      </c>
    </row>
    <row r="388" spans="1:2">
      <c r="A388" t="str">
        <f>IF(AND(LEFT('S.01.01.01'!$D$70,8)&lt;&gt;"Reported",'S.01.01.01'!$D$70&lt;&gt;""),Show!$B$2 &amp; "S.27.01.01.26 Rows{Z}@ForceFilingCode:false","")</f>
        <v/>
      </c>
      <c r="B388" t="str">
        <f>IF(AND(LEFT('S.01.01.01'!$D$70,8)&lt;&gt;"Reported",'S.01.01.01'!$D$70&lt;&gt;""),Show!$B$2&amp; Show!$B$2&amp;"S.27.01.01.26 Rows{Z}@ForceFilingCode:false","")</f>
        <v/>
      </c>
    </row>
    <row r="389" spans="1:2">
      <c r="A389" t="str">
        <f>IF(AND(LEFT('S.01.01.01'!$D$70,8)&lt;&gt;"Reported",'S.01.01.01'!$D$70&lt;&gt;""),Show!$B$2 &amp; "S.27.01.01.27 Rows{Z}@ForceFilingCode:false","")</f>
        <v/>
      </c>
      <c r="B389" t="str">
        <f>IF(AND(LEFT('S.01.01.01'!$D$70,8)&lt;&gt;"Reported",'S.01.01.01'!$D$70&lt;&gt;""),Show!$B$2&amp; Show!$B$2&amp;"S.27.01.01.27 Rows{Z}@ForceFilingCode:false","")</f>
        <v/>
      </c>
    </row>
    <row r="390" spans="1:2">
      <c r="A390" t="str">
        <f>IF(AND(LEFT('S.01.01.01'!$D$70,8)&lt;&gt;"Reported",'S.01.01.01'!$D$70&lt;&gt;""),Show!$B$2 &amp; "S.27.01.01.28 Rows{Z}@ForceFilingCode:false","")</f>
        <v/>
      </c>
      <c r="B390" t="str">
        <f>IF(AND(LEFT('S.01.01.01'!$D$70,8)&lt;&gt;"Reported",'S.01.01.01'!$D$70&lt;&gt;""),Show!$B$2&amp; Show!$B$2&amp;"S.27.01.01.28 Rows{Z}@ForceFilingCode:false","")</f>
        <v/>
      </c>
    </row>
    <row r="391" spans="1:2">
      <c r="A391" t="str">
        <f>IF(AND(LEFT('S.01.01.01'!$D$71,8)&lt;&gt;"Reported",'S.01.01.01'!$D$71&lt;&gt;""),Show!$B$2 &amp; "S.28.01.01.01 Rows{Z}@ForceFilingCode:false","")</f>
        <v/>
      </c>
      <c r="B391" t="str">
        <f>IF(AND(LEFT('S.01.01.01'!$D$71,8)&lt;&gt;"Reported",'S.01.01.01'!$D$71&lt;&gt;""),Show!$B$2&amp; Show!$B$2&amp;"S.28.01.01.01 Rows{Z}@ForceFilingCode:false","")</f>
        <v/>
      </c>
    </row>
    <row r="392" spans="1:2">
      <c r="A392" t="str">
        <f>IF(AND(LEFT('S.01.01.01'!$D$71,8)&lt;&gt;"Reported",'S.01.01.01'!$D$71&lt;&gt;""),Show!$B$2 &amp; "S.28.01.01.02 Rows{Z}@ForceFilingCode:false","")</f>
        <v/>
      </c>
      <c r="B392" t="str">
        <f>IF(AND(LEFT('S.01.01.01'!$D$71,8)&lt;&gt;"Reported",'S.01.01.01'!$D$71&lt;&gt;""),Show!$B$2&amp; Show!$B$2&amp;"S.28.01.01.02 Rows{Z}@ForceFilingCode:false","")</f>
        <v/>
      </c>
    </row>
    <row r="393" spans="1:2">
      <c r="A393" t="str">
        <f>IF(AND(LEFT('S.01.01.01'!$D$71,8)&lt;&gt;"Reported",'S.01.01.01'!$D$71&lt;&gt;""),Show!$B$2 &amp; "S.28.01.01.03 Rows{Z}@ForceFilingCode:false","")</f>
        <v/>
      </c>
      <c r="B393" t="str">
        <f>IF(AND(LEFT('S.01.01.01'!$D$71,8)&lt;&gt;"Reported",'S.01.01.01'!$D$71&lt;&gt;""),Show!$B$2&amp; Show!$B$2&amp;"S.28.01.01.03 Rows{Z}@ForceFilingCode:false","")</f>
        <v/>
      </c>
    </row>
    <row r="394" spans="1:2">
      <c r="A394" t="str">
        <f>IF(AND(LEFT('S.01.01.01'!$D$71,8)&lt;&gt;"Reported",'S.01.01.01'!$D$71&lt;&gt;""),Show!$B$2 &amp; "S.28.01.01.04 Rows{Z}@ForceFilingCode:false","")</f>
        <v/>
      </c>
      <c r="B394" t="str">
        <f>IF(AND(LEFT('S.01.01.01'!$D$71,8)&lt;&gt;"Reported",'S.01.01.01'!$D$71&lt;&gt;""),Show!$B$2&amp; Show!$B$2&amp;"S.28.01.01.04 Rows{Z}@ForceFilingCode:false","")</f>
        <v/>
      </c>
    </row>
    <row r="395" spans="1:2">
      <c r="A395" t="str">
        <f>IF(AND(LEFT('S.01.01.01'!$D$71,8)&lt;&gt;"Reported",'S.01.01.01'!$D$71&lt;&gt;""),Show!$B$2 &amp; "S.28.01.01.05 Rows{Z}@ForceFilingCode:false","")</f>
        <v/>
      </c>
      <c r="B395" t="str">
        <f>IF(AND(LEFT('S.01.01.01'!$D$71,8)&lt;&gt;"Reported",'S.01.01.01'!$D$71&lt;&gt;""),Show!$B$2&amp; Show!$B$2&amp;"S.28.01.01.05 Rows{Z}@ForceFilingCode:false","")</f>
        <v/>
      </c>
    </row>
    <row r="396" spans="1:2">
      <c r="A396" t="str">
        <f>IF(AND(LEFT('S.01.01.01'!$D$72,8)&lt;&gt;"Reported",'S.01.01.01'!$D$72&lt;&gt;""),Show!$B$2 &amp; "S.28.02.01.01 Rows{Z}@ForceFilingCode:false","")</f>
        <v/>
      </c>
      <c r="B396" t="str">
        <f>IF(AND(LEFT('S.01.01.01'!$D$72,8)&lt;&gt;"Reported",'S.01.01.01'!$D$72&lt;&gt;""),Show!$B$2&amp; Show!$B$2&amp;"S.28.02.01.01 Rows{Z}@ForceFilingCode:false","")</f>
        <v/>
      </c>
    </row>
    <row r="397" spans="1:2">
      <c r="A397" t="str">
        <f>IF(AND(LEFT('S.01.01.01'!$D$72,8)&lt;&gt;"Reported",'S.01.01.01'!$D$72&lt;&gt;""),Show!$B$2 &amp; "S.28.02.01.02 Rows{Z}@ForceFilingCode:false","")</f>
        <v/>
      </c>
      <c r="B397" t="str">
        <f>IF(AND(LEFT('S.01.01.01'!$D$72,8)&lt;&gt;"Reported",'S.01.01.01'!$D$72&lt;&gt;""),Show!$B$2&amp; Show!$B$2&amp;"S.28.02.01.02 Rows{Z}@ForceFilingCode:false","")</f>
        <v/>
      </c>
    </row>
    <row r="398" spans="1:2">
      <c r="A398" t="str">
        <f>IF(AND(LEFT('S.01.01.01'!$D$72,8)&lt;&gt;"Reported",'S.01.01.01'!$D$72&lt;&gt;""),Show!$B$2 &amp; "S.28.02.01.03 Rows{Z}@ForceFilingCode:false","")</f>
        <v/>
      </c>
      <c r="B398" t="str">
        <f>IF(AND(LEFT('S.01.01.01'!$D$72,8)&lt;&gt;"Reported",'S.01.01.01'!$D$72&lt;&gt;""),Show!$B$2&amp; Show!$B$2&amp;"S.28.02.01.03 Rows{Z}@ForceFilingCode:false","")</f>
        <v/>
      </c>
    </row>
    <row r="399" spans="1:2">
      <c r="A399" t="str">
        <f>IF(AND(LEFT('S.01.01.01'!$D$72,8)&lt;&gt;"Reported",'S.01.01.01'!$D$72&lt;&gt;""),Show!$B$2 &amp; "S.28.02.01.04 Rows{Z}@ForceFilingCode:false","")</f>
        <v/>
      </c>
      <c r="B399" t="str">
        <f>IF(AND(LEFT('S.01.01.01'!$D$72,8)&lt;&gt;"Reported",'S.01.01.01'!$D$72&lt;&gt;""),Show!$B$2&amp; Show!$B$2&amp;"S.28.02.01.04 Rows{Z}@ForceFilingCode:false","")</f>
        <v/>
      </c>
    </row>
    <row r="400" spans="1:2">
      <c r="A400" t="str">
        <f>IF(AND(LEFT('S.01.01.01'!$D$72,8)&lt;&gt;"Reported",'S.01.01.01'!$D$72&lt;&gt;""),Show!$B$2 &amp; "S.28.02.01.05 Rows{Z}@ForceFilingCode:false","")</f>
        <v/>
      </c>
      <c r="B400" t="str">
        <f>IF(AND(LEFT('S.01.01.01'!$D$72,8)&lt;&gt;"Reported",'S.01.01.01'!$D$72&lt;&gt;""),Show!$B$2&amp; Show!$B$2&amp;"S.28.02.01.05 Rows{Z}@ForceFilingCode:false","")</f>
        <v/>
      </c>
    </row>
    <row r="401" spans="1:2">
      <c r="A401" t="str">
        <f>IF(AND(LEFT('S.01.01.01'!$D$72,8)&lt;&gt;"Reported",'S.01.01.01'!$D$72&lt;&gt;""),Show!$B$2 &amp; "S.28.02.01.06 Rows{Z}@ForceFilingCode:false","")</f>
        <v/>
      </c>
      <c r="B401" t="str">
        <f>IF(AND(LEFT('S.01.01.01'!$D$72,8)&lt;&gt;"Reported",'S.01.01.01'!$D$72&lt;&gt;""),Show!$B$2&amp; Show!$B$2&amp;"S.28.02.01.06 Rows{Z}@ForceFilingCode:false","")</f>
        <v/>
      </c>
    </row>
    <row r="402" spans="1:2">
      <c r="A402" t="str">
        <f>IF(AND(LEFT('S.01.01.01'!$D$73,8)&lt;&gt;"Reported",'S.01.01.01'!$D$73&lt;&gt;""),Show!$B$2 &amp; "S.29.01.01.01 Rows{Z}@ForceFilingCode:false","")</f>
        <v/>
      </c>
      <c r="B402" t="str">
        <f>IF(AND(LEFT('S.01.01.01'!$D$73,8)&lt;&gt;"Reported",'S.01.01.01'!$D$73&lt;&gt;""),Show!$B$2&amp; Show!$B$2&amp;"S.29.01.01.01 Rows{Z}@ForceFilingCode:false","")</f>
        <v/>
      </c>
    </row>
    <row r="403" spans="1:2">
      <c r="A403" t="str">
        <f>IF(AND(LEFT('S.01.01.01'!$D$73,8)&lt;&gt;"Reported",'S.01.01.01'!$D$73&lt;&gt;""),Show!$B$2 &amp; "S.29.01.01.02 Rows{Z}@ForceFilingCode:false","")</f>
        <v/>
      </c>
      <c r="B403" t="str">
        <f>IF(AND(LEFT('S.01.01.01'!$D$73,8)&lt;&gt;"Reported",'S.01.01.01'!$D$73&lt;&gt;""),Show!$B$2&amp; Show!$B$2&amp;"S.29.01.01.02 Rows{Z}@ForceFilingCode:false","")</f>
        <v/>
      </c>
    </row>
    <row r="404" spans="1:2">
      <c r="A404" t="str">
        <f>IF(AND(LEFT('S.01.01.01'!$D$74,8)&lt;&gt;"Reported",'S.01.01.01'!$D$74&lt;&gt;""),Show!$B$2 &amp; "S.29.02.01.01 Rows{Z}@ForceFilingCode:false","")</f>
        <v/>
      </c>
      <c r="B404" t="str">
        <f>IF(AND(LEFT('S.01.01.01'!$D$74,8)&lt;&gt;"Reported",'S.01.01.01'!$D$74&lt;&gt;""),Show!$B$2&amp; Show!$B$2&amp;"S.29.02.01.01 Rows{Z}@ForceFilingCode:false","")</f>
        <v/>
      </c>
    </row>
    <row r="405" spans="1:2">
      <c r="A405" t="str">
        <f>IF(AND(LEFT('S.01.01.01'!$D$75,8)&lt;&gt;"Reported",'S.01.01.01'!$D$75&lt;&gt;""),Show!$B$2 &amp; "S.29.03.01.01 Rows{Z}@ForceFilingCode:false","")</f>
        <v/>
      </c>
      <c r="B405" t="str">
        <f>IF(AND(LEFT('S.01.01.01'!$D$75,8)&lt;&gt;"Reported",'S.01.01.01'!$D$75&lt;&gt;""),Show!$B$2&amp; Show!$B$2&amp;"S.29.03.01.01 Rows{Z}@ForceFilingCode:false","")</f>
        <v/>
      </c>
    </row>
    <row r="406" spans="1:2">
      <c r="A406" t="str">
        <f>IF(AND(LEFT('S.01.01.01'!$D$75,8)&lt;&gt;"Reported",'S.01.01.01'!$D$75&lt;&gt;""),Show!$B$2 &amp; "S.29.03.01.02 Rows{Z}@ForceFilingCode:false","")</f>
        <v/>
      </c>
      <c r="B406" t="str">
        <f>IF(AND(LEFT('S.01.01.01'!$D$75,8)&lt;&gt;"Reported",'S.01.01.01'!$D$75&lt;&gt;""),Show!$B$2&amp; Show!$B$2&amp;"S.29.03.01.02 Rows{Z}@ForceFilingCode:false","")</f>
        <v/>
      </c>
    </row>
    <row r="407" spans="1:2">
      <c r="A407" t="str">
        <f>IF(AND(LEFT('S.01.01.01'!$D$75,8)&lt;&gt;"Reported",'S.01.01.01'!$D$75&lt;&gt;""),Show!$B$2 &amp; "S.29.03.01.03 Rows{Z}@ForceFilingCode:false","")</f>
        <v/>
      </c>
      <c r="B407" t="str">
        <f>IF(AND(LEFT('S.01.01.01'!$D$75,8)&lt;&gt;"Reported",'S.01.01.01'!$D$75&lt;&gt;""),Show!$B$2&amp; Show!$B$2&amp;"S.29.03.01.03 Rows{Z}@ForceFilingCode:false","")</f>
        <v/>
      </c>
    </row>
    <row r="408" spans="1:2">
      <c r="A408" t="str">
        <f>IF(AND(LEFT('S.01.01.01'!$D$75,8)&lt;&gt;"Reported",'S.01.01.01'!$D$75&lt;&gt;""),Show!$B$2 &amp; "S.29.03.01.04 Rows{Z}@ForceFilingCode:false","")</f>
        <v/>
      </c>
      <c r="B408" t="str">
        <f>IF(AND(LEFT('S.01.01.01'!$D$75,8)&lt;&gt;"Reported",'S.01.01.01'!$D$75&lt;&gt;""),Show!$B$2&amp; Show!$B$2&amp;"S.29.03.01.04 Rows{Z}@ForceFilingCode:false","")</f>
        <v/>
      </c>
    </row>
    <row r="409" spans="1:2">
      <c r="A409" t="str">
        <f>IF(AND(LEFT('S.01.01.01'!$D$75,8)&lt;&gt;"Reported",'S.01.01.01'!$D$75&lt;&gt;""),Show!$B$2 &amp; "S.29.03.01.05 Rows{Z}@ForceFilingCode:false","")</f>
        <v/>
      </c>
      <c r="B409" t="str">
        <f>IF(AND(LEFT('S.01.01.01'!$D$75,8)&lt;&gt;"Reported",'S.01.01.01'!$D$75&lt;&gt;""),Show!$B$2&amp; Show!$B$2&amp;"S.29.03.01.05 Rows{Z}@ForceFilingCode:false","")</f>
        <v/>
      </c>
    </row>
    <row r="410" spans="1:2">
      <c r="A410" t="str">
        <f>IF(AND(LEFT('S.01.01.01'!$D$75,8)&lt;&gt;"Reported",'S.01.01.01'!$D$75&lt;&gt;""),Show!$B$2 &amp; "S.29.03.01.06 Rows{Z}@ForceFilingCode:false","")</f>
        <v/>
      </c>
      <c r="B410" t="str">
        <f>IF(AND(LEFT('S.01.01.01'!$D$75,8)&lt;&gt;"Reported",'S.01.01.01'!$D$75&lt;&gt;""),Show!$B$2&amp; Show!$B$2&amp;"S.29.03.01.06 Rows{Z}@ForceFilingCode:false","")</f>
        <v/>
      </c>
    </row>
    <row r="411" spans="1:2">
      <c r="A411" t="str">
        <f>IF(AND(LEFT('S.01.01.01'!$D$75,8)&lt;&gt;"Reported",'S.01.01.01'!$D$75&lt;&gt;""),Show!$B$2 &amp; "S.29.03.01.07 Rows{Z}@ForceFilingCode:false","")</f>
        <v/>
      </c>
      <c r="B411" t="str">
        <f>IF(AND(LEFT('S.01.01.01'!$D$75,8)&lt;&gt;"Reported",'S.01.01.01'!$D$75&lt;&gt;""),Show!$B$2&amp; Show!$B$2&amp;"S.29.03.01.07 Rows{Z}@ForceFilingCode:false","")</f>
        <v/>
      </c>
    </row>
    <row r="412" spans="1:2">
      <c r="A412" t="str">
        <f>IF(AND(LEFT('S.01.01.01'!$D$76,8)&lt;&gt;"Reported",'S.01.01.01'!$D$76&lt;&gt;""),Show!$B$2 &amp; "S.29.04.01.01 Rows{Z}@ForceFilingCode:false","")</f>
        <v/>
      </c>
      <c r="B412" t="str">
        <f>IF(AND(LEFT('S.01.01.01'!$D$76,8)&lt;&gt;"Reported",'S.01.01.01'!$D$76&lt;&gt;""),Show!$B$2&amp; Show!$B$2&amp;"S.29.04.01.01 Rows{Z}@ForceFilingCode:false","")</f>
        <v/>
      </c>
    </row>
    <row r="413" spans="1:2">
      <c r="A413" t="str">
        <f>IF(AND(LEFT('S.01.01.01'!$D$76,8)&lt;&gt;"Reported",'S.01.01.01'!$D$76&lt;&gt;""),Show!$B$2 &amp; "S.29.04.01.02 Rows{Z}@ForceFilingCode:false","")</f>
        <v/>
      </c>
      <c r="B413" t="str">
        <f>IF(AND(LEFT('S.01.01.01'!$D$76,8)&lt;&gt;"Reported",'S.01.01.01'!$D$76&lt;&gt;""),Show!$B$2&amp; Show!$B$2&amp;"S.29.04.01.02 Rows{Z}@ForceFilingCode:false","")</f>
        <v/>
      </c>
    </row>
    <row r="414" spans="1:2">
      <c r="A414" t="str">
        <f>IF(AND(LEFT('S.01.01.01'!$D$77,8)&lt;&gt;"Reported",'S.01.01.01'!$D$77&lt;&gt;""),Show!$B$2 &amp; "S.30.01.01.01 Rows{Z}@ForceFilingCode:false","")</f>
        <v/>
      </c>
      <c r="B414" t="str">
        <f>IF(AND(LEFT('S.01.01.01'!$D$77,8)&lt;&gt;"Reported",'S.01.01.01'!$D$77&lt;&gt;""),Show!$B$2&amp; Show!$B$2&amp;"S.30.01.01.01 Rows{Z}@ForceFilingCode:false","")</f>
        <v/>
      </c>
    </row>
    <row r="415" spans="1:2">
      <c r="A415" t="str">
        <f>IF(AND(LEFT('S.01.01.01'!$D$77,8)&lt;&gt;"Reported",'S.01.01.01'!$D$77&lt;&gt;""),Show!$B$2 &amp; "S.30.01.01.02 Rows{Z}@ForceFilingCode:false","")</f>
        <v/>
      </c>
      <c r="B415" t="str">
        <f>IF(AND(LEFT('S.01.01.01'!$D$77,8)&lt;&gt;"Reported",'S.01.01.01'!$D$77&lt;&gt;""),Show!$B$2&amp; Show!$B$2&amp;"S.30.01.01.02 Rows{Z}@ForceFilingCode:false","")</f>
        <v/>
      </c>
    </row>
    <row r="416" spans="1:2">
      <c r="A416" t="str">
        <f>IF(AND(LEFT('S.01.01.01'!$D$78,8)&lt;&gt;"Reported",'S.01.01.01'!$D$78&lt;&gt;""),Show!$B$2 &amp; "S.30.02.01.01 Rows{Z}@ForceFilingCode:false","")</f>
        <v/>
      </c>
      <c r="B416" t="str">
        <f>IF(AND(LEFT('S.01.01.01'!$D$78,8)&lt;&gt;"Reported",'S.01.01.01'!$D$78&lt;&gt;""),Show!$B$2&amp; Show!$B$2&amp;"S.30.02.01.01 Rows{Z}@ForceFilingCode:false","")</f>
        <v/>
      </c>
    </row>
    <row r="417" spans="1:2">
      <c r="A417" t="str">
        <f>IF(AND(LEFT('S.01.01.01'!$D$78,8)&lt;&gt;"Reported",'S.01.01.01'!$D$78&lt;&gt;""),Show!$B$2 &amp; "S.30.02.01.02 Rows{Z}@ForceFilingCode:false","")</f>
        <v/>
      </c>
      <c r="B417" t="str">
        <f>IF(AND(LEFT('S.01.01.01'!$D$78,8)&lt;&gt;"Reported",'S.01.01.01'!$D$78&lt;&gt;""),Show!$B$2&amp; Show!$B$2&amp;"S.30.02.01.02 Rows{Z}@ForceFilingCode:false","")</f>
        <v/>
      </c>
    </row>
    <row r="418" spans="1:2">
      <c r="A418" t="str">
        <f>IF(AND(LEFT('S.01.01.01'!$D$78,8)&lt;&gt;"Reported",'S.01.01.01'!$D$78&lt;&gt;""),Show!$B$2 &amp; "S.30.02.01.03 Rows{Z}@ForceFilingCode:false","")</f>
        <v/>
      </c>
      <c r="B418" t="str">
        <f>IF(AND(LEFT('S.01.01.01'!$D$78,8)&lt;&gt;"Reported",'S.01.01.01'!$D$78&lt;&gt;""),Show!$B$2&amp; Show!$B$2&amp;"S.30.02.01.03 Rows{Z}@ForceFilingCode:false","")</f>
        <v/>
      </c>
    </row>
    <row r="419" spans="1:2">
      <c r="A419" t="str">
        <f>IF(AND(LEFT('S.01.01.01'!$D$78,8)&lt;&gt;"Reported",'S.01.01.01'!$D$78&lt;&gt;""),Show!$B$2 &amp; "S.30.02.01.04 Rows{Z}@ForceFilingCode:false","")</f>
        <v/>
      </c>
      <c r="B419" t="str">
        <f>IF(AND(LEFT('S.01.01.01'!$D$78,8)&lt;&gt;"Reported",'S.01.01.01'!$D$78&lt;&gt;""),Show!$B$2&amp; Show!$B$2&amp;"S.30.02.01.04 Rows{Z}@ForceFilingCode:false","")</f>
        <v/>
      </c>
    </row>
    <row r="420" spans="1:2">
      <c r="A420" t="str">
        <f>IF(AND(LEFT('S.01.01.01'!$D$79,8)&lt;&gt;"Reported",'S.01.01.01'!$D$79&lt;&gt;""),Show!$B$2 &amp; "S.30.03.01.01 Rows{Z}@ForceFilingCode:false","")</f>
        <v/>
      </c>
      <c r="B420" t="str">
        <f>IF(AND(LEFT('S.01.01.01'!$D$79,8)&lt;&gt;"Reported",'S.01.01.01'!$D$79&lt;&gt;""),Show!$B$2&amp; Show!$B$2&amp;"S.30.03.01.01 Rows{Z}@ForceFilingCode:false","")</f>
        <v/>
      </c>
    </row>
    <row r="421" spans="1:2">
      <c r="A421" t="str">
        <f>IF(AND(LEFT('S.01.01.01'!$D$80,8)&lt;&gt;"Reported",'S.01.01.01'!$D$80&lt;&gt;""),Show!$B$2 &amp; "S.30.04.01.01 Rows{Z}@ForceFilingCode:false","")</f>
        <v/>
      </c>
      <c r="B421" t="str">
        <f>IF(AND(LEFT('S.01.01.01'!$D$80,8)&lt;&gt;"Reported",'S.01.01.01'!$D$80&lt;&gt;""),Show!$B$2&amp; Show!$B$2&amp;"S.30.04.01.01 Rows{Z}@ForceFilingCode:false","")</f>
        <v/>
      </c>
    </row>
    <row r="422" spans="1:2">
      <c r="A422" t="str">
        <f>IF(AND(LEFT('S.01.01.01'!$D$80,8)&lt;&gt;"Reported",'S.01.01.01'!$D$80&lt;&gt;""),Show!$B$2 &amp; "S.30.04.01.02 Rows{Z}@ForceFilingCode:false","")</f>
        <v/>
      </c>
      <c r="B422" t="str">
        <f>IF(AND(LEFT('S.01.01.01'!$D$80,8)&lt;&gt;"Reported",'S.01.01.01'!$D$80&lt;&gt;""),Show!$B$2&amp; Show!$B$2&amp;"S.30.04.01.02 Rows{Z}@ForceFilingCode:false","")</f>
        <v/>
      </c>
    </row>
    <row r="423" spans="1:2">
      <c r="A423" t="str">
        <f>IF(AND(LEFT('S.01.01.01'!$D$80,8)&lt;&gt;"Reported",'S.01.01.01'!$D$80&lt;&gt;""),Show!$B$2 &amp; "S.30.04.01.03 Rows{Z}@ForceFilingCode:false","")</f>
        <v/>
      </c>
      <c r="B423" t="str">
        <f>IF(AND(LEFT('S.01.01.01'!$D$80,8)&lt;&gt;"Reported",'S.01.01.01'!$D$80&lt;&gt;""),Show!$B$2&amp; Show!$B$2&amp;"S.30.04.01.03 Rows{Z}@ForceFilingCode:false","")</f>
        <v/>
      </c>
    </row>
    <row r="424" spans="1:2">
      <c r="A424" t="str">
        <f>IF(AND(LEFT('S.01.01.01'!$D$81,8)&lt;&gt;"Reported",'S.01.01.01'!$D$81&lt;&gt;""),Show!$B$2 &amp; "S.31.01.01.01 Rows{Z}@ForceFilingCode:false","")</f>
        <v/>
      </c>
      <c r="B424" t="str">
        <f>IF(AND(LEFT('S.01.01.01'!$D$81,8)&lt;&gt;"Reported",'S.01.01.01'!$D$81&lt;&gt;""),Show!$B$2&amp; Show!$B$2&amp;"S.31.01.01.01 Rows{Z}@ForceFilingCode:false","")</f>
        <v/>
      </c>
    </row>
    <row r="425" spans="1:2">
      <c r="A425" t="str">
        <f>IF(AND(LEFT('S.01.01.01'!$D$81,8)&lt;&gt;"Reported",'S.01.01.01'!$D$81&lt;&gt;""),Show!$B$2 &amp; "S.31.01.01.02 Rows{Z}@ForceFilingCode:false","")</f>
        <v/>
      </c>
      <c r="B425" t="str">
        <f>IF(AND(LEFT('S.01.01.01'!$D$81,8)&lt;&gt;"Reported",'S.01.01.01'!$D$81&lt;&gt;""),Show!$B$2&amp; Show!$B$2&amp;"S.31.01.01.02 Rows{Z}@ForceFilingCode:false","")</f>
        <v/>
      </c>
    </row>
    <row r="426" spans="1:2">
      <c r="A426" t="str">
        <f>IF(AND(LEFT('S.01.01.01'!$D$82,8)&lt;&gt;"Reported",'S.01.01.01'!$D$82&lt;&gt;""),Show!$B$2 &amp; "S.31.02.01.01 Rows{Z}@ForceFilingCode:false","")</f>
        <v/>
      </c>
      <c r="B426" t="str">
        <f>IF(AND(LEFT('S.01.01.01'!$D$82,8)&lt;&gt;"Reported",'S.01.01.01'!$D$82&lt;&gt;""),Show!$B$2&amp; Show!$B$2&amp;"S.31.02.01.01 Rows{Z}@ForceFilingCode:false","")</f>
        <v/>
      </c>
    </row>
    <row r="427" spans="1:2">
      <c r="A427" t="str">
        <f>IF(AND(LEFT('S.01.01.01'!$D$82,8)&lt;&gt;"Reported",'S.01.01.01'!$D$82&lt;&gt;""),Show!$B$2 &amp; "S.31.02.01.02 Rows{Z}@ForceFilingCode:false","")</f>
        <v/>
      </c>
      <c r="B427" t="str">
        <f>IF(AND(LEFT('S.01.01.01'!$D$82,8)&lt;&gt;"Reported",'S.01.01.01'!$D$82&lt;&gt;""),Show!$B$2&amp; Show!$B$2&amp;"S.31.02.01.02 Rows{Z}@ForceFilingCode:false","")</f>
        <v/>
      </c>
    </row>
    <row r="428" spans="1:2">
      <c r="A428" t="str">
        <f>IF(AND(LEFT('S.01.01.01'!$D$83,8)&lt;&gt;"Reported",'S.01.01.01'!$D$83&lt;&gt;""),Show!$B$2 &amp; "S.36.01.01.01 Rows{Z}@ForceFilingCode:false","")</f>
        <v/>
      </c>
      <c r="B428" t="str">
        <f>IF(AND(LEFT('S.01.01.01'!$D$83,8)&lt;&gt;"Reported",'S.01.01.01'!$D$83&lt;&gt;""),Show!$B$2&amp; Show!$B$2&amp;"S.36.01.01.01 Rows{Z}@ForceFilingCode:false","")</f>
        <v/>
      </c>
    </row>
    <row r="429" spans="1:2">
      <c r="A429" t="str">
        <f>IF(AND(LEFT('S.01.01.01'!$D$84,8)&lt;&gt;"Reported",'S.01.01.01'!$D$84&lt;&gt;""),Show!$B$2 &amp; "S.36.02.01.01 Rows{Z}@ForceFilingCode:false","")</f>
        <v/>
      </c>
      <c r="B429" t="str">
        <f>IF(AND(LEFT('S.01.01.01'!$D$84,8)&lt;&gt;"Reported",'S.01.01.01'!$D$84&lt;&gt;""),Show!$B$2&amp; Show!$B$2&amp;"S.36.02.01.01 Rows{Z}@ForceFilingCode:false","")</f>
        <v/>
      </c>
    </row>
    <row r="430" spans="1:2">
      <c r="A430" t="str">
        <f>IF(AND(LEFT('S.01.01.01'!$D$85,8)&lt;&gt;"Reported",'S.01.01.01'!$D$85&lt;&gt;""),Show!$B$2 &amp; "S.36.03.01.01 Rows{Z}@ForceFilingCode:false","")</f>
        <v/>
      </c>
      <c r="B430" t="str">
        <f>IF(AND(LEFT('S.01.01.01'!$D$85,8)&lt;&gt;"Reported",'S.01.01.01'!$D$85&lt;&gt;""),Show!$B$2&amp; Show!$B$2&amp;"S.36.03.01.01 Rows{Z}@ForceFilingCode:false","")</f>
        <v/>
      </c>
    </row>
    <row r="431" spans="1:2">
      <c r="A431" t="str">
        <f>IF(AND(LEFT('S.01.01.01'!$D$86,8)&lt;&gt;"Reported",'S.01.01.01'!$D$86&lt;&gt;""),Show!$B$2 &amp; "S.36.04.01.01 Rows{Z}@ForceFilingCode:false","")</f>
        <v/>
      </c>
      <c r="B431" t="str">
        <f>IF(AND(LEFT('S.01.01.01'!$D$86,8)&lt;&gt;"Reported",'S.01.01.01'!$D$86&lt;&gt;""),Show!$B$2&amp; Show!$B$2&amp;"S.36.04.01.01 Rows{Z}@ForceFilingCode:false","")</f>
        <v/>
      </c>
    </row>
    <row r="432" spans="1:2">
      <c r="A432" t="str">
        <f>IF(AND(LEFT('S.01.01.02'!$D$16,8)&lt;&gt;"Reported",'S.01.01.02'!$D$16&lt;&gt;""),Show!$B$3 &amp; "S.01.02.01.01 Rows{Z}@ForceFilingCode:false","")</f>
        <v/>
      </c>
      <c r="B432" t="str">
        <f>IF(AND(LEFT('S.01.01.02'!$D$16,8)&lt;&gt;"Reported",'S.01.01.02'!$D$16&lt;&gt;""),Show!$B$3&amp; Show!$B$3&amp;"S.01.02.01.01 Rows{Z}@ForceFilingCode:false","")</f>
        <v/>
      </c>
    </row>
    <row r="433" spans="1:2">
      <c r="A433" t="str">
        <f>IF(AND(LEFT('S.01.01.02'!$D$17,8)&lt;&gt;"Reported",'S.01.01.02'!$D$17&lt;&gt;""),Show!$B$3 &amp; "S.02.01.02.01 Rows{Z}@ForceFilingCode:false","")</f>
        <v/>
      </c>
      <c r="B433" t="str">
        <f>IF(AND(LEFT('S.01.01.02'!$D$17,8)&lt;&gt;"Reported",'S.01.01.02'!$D$17&lt;&gt;""),Show!$B$3&amp; Show!$B$3&amp;"S.02.01.02.01 Rows{Z}@ForceFilingCode:false","")</f>
        <v/>
      </c>
    </row>
    <row r="434" spans="1:2">
      <c r="A434" t="str">
        <f>IF(AND(LEFT('S.01.01.02'!$D$18,8)&lt;&gt;"Reported",'S.01.01.02'!$D$18&lt;&gt;""),Show!$B$3 &amp; "S.05.01.02.01 Rows{Z}@ForceFilingCode:false","")</f>
        <v/>
      </c>
      <c r="B434" t="str">
        <f>IF(AND(LEFT('S.01.01.02'!$D$18,8)&lt;&gt;"Reported",'S.01.01.02'!$D$18&lt;&gt;""),Show!$B$3&amp; Show!$B$3&amp;"S.05.01.02.01 Rows{Z}@ForceFilingCode:false","")</f>
        <v/>
      </c>
    </row>
    <row r="435" spans="1:2">
      <c r="A435" t="str">
        <f>IF(AND(LEFT('S.01.01.02'!$D$18,8)&lt;&gt;"Reported",'S.01.01.02'!$D$18&lt;&gt;""),Show!$B$3 &amp; "S.05.01.02.02 Rows{Z}@ForceFilingCode:false","")</f>
        <v/>
      </c>
      <c r="B435" t="str">
        <f>IF(AND(LEFT('S.01.01.02'!$D$18,8)&lt;&gt;"Reported",'S.01.01.02'!$D$18&lt;&gt;""),Show!$B$3&amp; Show!$B$3&amp;"S.05.01.02.02 Rows{Z}@ForceFilingCode:false","")</f>
        <v/>
      </c>
    </row>
    <row r="436" spans="1:2">
      <c r="A436" t="str">
        <f>IF(AND(LEFT('S.01.01.02'!$D$19,8)&lt;&gt;"Reported",'S.01.01.02'!$D$19&lt;&gt;""),Show!$B$3 &amp; "S.06.02.01.01 Rows{Z}@ForceFilingCode:false","")</f>
        <v/>
      </c>
      <c r="B436" t="str">
        <f>IF(AND(LEFT('S.01.01.02'!$D$19,8)&lt;&gt;"Reported",'S.01.01.02'!$D$19&lt;&gt;""),Show!$B$3&amp; Show!$B$3&amp;"S.06.02.01.01 Rows{Z}@ForceFilingCode:false","")</f>
        <v/>
      </c>
    </row>
    <row r="437" spans="1:2">
      <c r="A437" t="str">
        <f>IF(AND(LEFT('S.01.01.02'!$D$19,8)&lt;&gt;"Reported",'S.01.01.02'!$D$19&lt;&gt;""),Show!$B$3 &amp; "S.06.02.01.02 Rows{Z}@ForceFilingCode:false","")</f>
        <v/>
      </c>
      <c r="B437" t="str">
        <f>IF(AND(LEFT('S.01.01.02'!$D$19,8)&lt;&gt;"Reported",'S.01.01.02'!$D$19&lt;&gt;""),Show!$B$3&amp; Show!$B$3&amp;"S.06.02.01.02 Rows{Z}@ForceFilingCode:false","")</f>
        <v/>
      </c>
    </row>
    <row r="438" spans="1:2">
      <c r="A438" t="str">
        <f>IF(AND(LEFT('S.01.01.02'!$D$20,8)&lt;&gt;"Reported",'S.01.01.02'!$D$20&lt;&gt;""),Show!$B$3 &amp; "S.06.03.01.01 Rows{Z}@ForceFilingCode:false","")</f>
        <v/>
      </c>
      <c r="B438" t="str">
        <f>IF(AND(LEFT('S.01.01.02'!$D$20,8)&lt;&gt;"Reported",'S.01.01.02'!$D$20&lt;&gt;""),Show!$B$3&amp; Show!$B$3&amp;"S.06.03.01.01 Rows{Z}@ForceFilingCode:false","")</f>
        <v/>
      </c>
    </row>
    <row r="439" spans="1:2">
      <c r="A439" t="str">
        <f>IF(AND(LEFT('S.01.01.02'!$D$21,8)&lt;&gt;"Reported",'S.01.01.02'!$D$21&lt;&gt;""),Show!$B$3 &amp; "S.08.01.01.01 Rows{Z}@ForceFilingCode:false","")</f>
        <v/>
      </c>
      <c r="B439" t="str">
        <f>IF(AND(LEFT('S.01.01.02'!$D$21,8)&lt;&gt;"Reported",'S.01.01.02'!$D$21&lt;&gt;""),Show!$B$3&amp; Show!$B$3&amp;"S.08.01.01.01 Rows{Z}@ForceFilingCode:false","")</f>
        <v/>
      </c>
    </row>
    <row r="440" spans="1:2">
      <c r="A440" t="str">
        <f>IF(AND(LEFT('S.01.01.02'!$D$21,8)&lt;&gt;"Reported",'S.01.01.02'!$D$21&lt;&gt;""),Show!$B$3 &amp; "S.08.01.01.02 Rows{Z}@ForceFilingCode:false","")</f>
        <v/>
      </c>
      <c r="B440" t="str">
        <f>IF(AND(LEFT('S.01.01.02'!$D$21,8)&lt;&gt;"Reported",'S.01.01.02'!$D$21&lt;&gt;""),Show!$B$3&amp; Show!$B$3&amp;"S.08.01.01.02 Rows{Z}@ForceFilingCode:false","")</f>
        <v/>
      </c>
    </row>
    <row r="441" spans="1:2">
      <c r="A441" t="str">
        <f>IF(AND(LEFT('S.01.01.02'!$D$22,8)&lt;&gt;"Reported",'S.01.01.02'!$D$22&lt;&gt;""),Show!$B$3 &amp; "S.08.02.01.01 Rows{Z}@ForceFilingCode:false","")</f>
        <v/>
      </c>
      <c r="B441" t="str">
        <f>IF(AND(LEFT('S.01.01.02'!$D$22,8)&lt;&gt;"Reported",'S.01.01.02'!$D$22&lt;&gt;""),Show!$B$3&amp; Show!$B$3&amp;"S.08.02.01.01 Rows{Z}@ForceFilingCode:false","")</f>
        <v/>
      </c>
    </row>
    <row r="442" spans="1:2">
      <c r="A442" t="str">
        <f>IF(AND(LEFT('S.01.01.02'!$D$22,8)&lt;&gt;"Reported",'S.01.01.02'!$D$22&lt;&gt;""),Show!$B$3 &amp; "S.08.02.01.02 Rows{Z}@ForceFilingCode:false","")</f>
        <v/>
      </c>
      <c r="B442" t="str">
        <f>IF(AND(LEFT('S.01.01.02'!$D$22,8)&lt;&gt;"Reported",'S.01.01.02'!$D$22&lt;&gt;""),Show!$B$3&amp; Show!$B$3&amp;"S.08.02.01.02 Rows{Z}@ForceFilingCode:false","")</f>
        <v/>
      </c>
    </row>
    <row r="443" spans="1:2">
      <c r="A443" t="str">
        <f>IF(AND(LEFT('S.01.01.02'!$D$23,8)&lt;&gt;"Reported",'S.01.01.02'!$D$23&lt;&gt;""),Show!$B$3 &amp; "S.12.01.02.01 Rows{Z}@ForceFilingCode:false","")</f>
        <v/>
      </c>
      <c r="B443" t="str">
        <f>IF(AND(LEFT('S.01.01.02'!$D$23,8)&lt;&gt;"Reported",'S.01.01.02'!$D$23&lt;&gt;""),Show!$B$3&amp; Show!$B$3&amp;"S.12.01.02.01 Rows{Z}@ForceFilingCode:false","")</f>
        <v/>
      </c>
    </row>
    <row r="444" spans="1:2">
      <c r="A444" t="str">
        <f>IF(AND(LEFT('S.01.01.02'!$D$24,8)&lt;&gt;"Reported",'S.01.01.02'!$D$24&lt;&gt;""),Show!$B$3 &amp; "S.17.01.02.01 Rows{Z}@ForceFilingCode:false","")</f>
        <v/>
      </c>
      <c r="B444" t="str">
        <f>IF(AND(LEFT('S.01.01.02'!$D$24,8)&lt;&gt;"Reported",'S.01.01.02'!$D$24&lt;&gt;""),Show!$B$3&amp; Show!$B$3&amp;"S.17.01.02.01 Rows{Z}@ForceFilingCode:false","")</f>
        <v/>
      </c>
    </row>
    <row r="445" spans="1:2">
      <c r="A445" t="str">
        <f>IF(AND(LEFT('S.01.01.02'!$D$25,8)&lt;&gt;"Reported",'S.01.01.02'!$D$25&lt;&gt;""),Show!$B$3 &amp; "S.23.01.01.01 Rows{Z}@ForceFilingCode:false","")</f>
        <v/>
      </c>
      <c r="B445" t="str">
        <f>IF(AND(LEFT('S.01.01.02'!$D$25,8)&lt;&gt;"Reported",'S.01.01.02'!$D$25&lt;&gt;""),Show!$B$3&amp; Show!$B$3&amp;"S.23.01.01.01 Rows{Z}@ForceFilingCode:false","")</f>
        <v/>
      </c>
    </row>
    <row r="446" spans="1:2">
      <c r="A446" t="str">
        <f>IF(AND(LEFT('S.01.01.02'!$D$25,8)&lt;&gt;"Reported",'S.01.01.02'!$D$25&lt;&gt;""),Show!$B$3 &amp; "S.23.01.01.02 Rows{Z}@ForceFilingCode:false","")</f>
        <v/>
      </c>
      <c r="B446" t="str">
        <f>IF(AND(LEFT('S.01.01.02'!$D$25,8)&lt;&gt;"Reported",'S.01.01.02'!$D$25&lt;&gt;""),Show!$B$3&amp; Show!$B$3&amp;"S.23.01.01.02 Rows{Z}@ForceFilingCode:false","")</f>
        <v/>
      </c>
    </row>
    <row r="447" spans="1:2">
      <c r="A447" t="str">
        <f>IF(AND(LEFT('S.01.01.02'!$D$26,8)&lt;&gt;"Reported",'S.01.01.02'!$D$26&lt;&gt;""),Show!$B$3 &amp; "S.28.01.01.01 Rows{Z}@ForceFilingCode:false","")</f>
        <v/>
      </c>
      <c r="B447" t="str">
        <f>IF(AND(LEFT('S.01.01.02'!$D$26,8)&lt;&gt;"Reported",'S.01.01.02'!$D$26&lt;&gt;""),Show!$B$3&amp; Show!$B$3&amp;"S.28.01.01.01 Rows{Z}@ForceFilingCode:false","")</f>
        <v/>
      </c>
    </row>
    <row r="448" spans="1:2">
      <c r="A448" t="str">
        <f>IF(AND(LEFT('S.01.01.02'!$D$26,8)&lt;&gt;"Reported",'S.01.01.02'!$D$26&lt;&gt;""),Show!$B$3 &amp; "S.28.01.01.02 Rows{Z}@ForceFilingCode:false","")</f>
        <v/>
      </c>
      <c r="B448" t="str">
        <f>IF(AND(LEFT('S.01.01.02'!$D$26,8)&lt;&gt;"Reported",'S.01.01.02'!$D$26&lt;&gt;""),Show!$B$3&amp; Show!$B$3&amp;"S.28.01.01.02 Rows{Z}@ForceFilingCode:false","")</f>
        <v/>
      </c>
    </row>
    <row r="449" spans="1:2">
      <c r="A449" t="str">
        <f>IF(AND(LEFT('S.01.01.02'!$D$26,8)&lt;&gt;"Reported",'S.01.01.02'!$D$26&lt;&gt;""),Show!$B$3 &amp; "S.28.01.01.03 Rows{Z}@ForceFilingCode:false","")</f>
        <v/>
      </c>
      <c r="B449" t="str">
        <f>IF(AND(LEFT('S.01.01.02'!$D$26,8)&lt;&gt;"Reported",'S.01.01.02'!$D$26&lt;&gt;""),Show!$B$3&amp; Show!$B$3&amp;"S.28.01.01.03 Rows{Z}@ForceFilingCode:false","")</f>
        <v/>
      </c>
    </row>
    <row r="450" spans="1:2">
      <c r="A450" t="str">
        <f>IF(AND(LEFT('S.01.01.02'!$D$26,8)&lt;&gt;"Reported",'S.01.01.02'!$D$26&lt;&gt;""),Show!$B$3 &amp; "S.28.01.01.04 Rows{Z}@ForceFilingCode:false","")</f>
        <v/>
      </c>
      <c r="B450" t="str">
        <f>IF(AND(LEFT('S.01.01.02'!$D$26,8)&lt;&gt;"Reported",'S.01.01.02'!$D$26&lt;&gt;""),Show!$B$3&amp; Show!$B$3&amp;"S.28.01.01.04 Rows{Z}@ForceFilingCode:false","")</f>
        <v/>
      </c>
    </row>
    <row r="451" spans="1:2">
      <c r="A451" t="str">
        <f>IF(AND(LEFT('S.01.01.02'!$D$26,8)&lt;&gt;"Reported",'S.01.01.02'!$D$26&lt;&gt;""),Show!$B$3 &amp; "S.28.01.01.05 Rows{Z}@ForceFilingCode:false","")</f>
        <v/>
      </c>
      <c r="B451" t="str">
        <f>IF(AND(LEFT('S.01.01.02'!$D$26,8)&lt;&gt;"Reported",'S.01.01.02'!$D$26&lt;&gt;""),Show!$B$3&amp; Show!$B$3&amp;"S.28.01.01.05 Rows{Z}@ForceFilingCode:false","")</f>
        <v/>
      </c>
    </row>
    <row r="452" spans="1:2">
      <c r="A452" t="str">
        <f>IF(AND(LEFT('S.01.01.02'!$D$27,8)&lt;&gt;"Reported",'S.01.01.02'!$D$27&lt;&gt;""),Show!$B$3 &amp; "S.28.02.01.01 Rows{Z}@ForceFilingCode:false","")</f>
        <v/>
      </c>
      <c r="B452" t="str">
        <f>IF(AND(LEFT('S.01.01.02'!$D$27,8)&lt;&gt;"Reported",'S.01.01.02'!$D$27&lt;&gt;""),Show!$B$3&amp; Show!$B$3&amp;"S.28.02.01.01 Rows{Z}@ForceFilingCode:false","")</f>
        <v/>
      </c>
    </row>
    <row r="453" spans="1:2">
      <c r="A453" t="str">
        <f>IF(AND(LEFT('S.01.01.02'!$D$27,8)&lt;&gt;"Reported",'S.01.01.02'!$D$27&lt;&gt;""),Show!$B$3 &amp; "S.28.02.01.02 Rows{Z}@ForceFilingCode:false","")</f>
        <v/>
      </c>
      <c r="B453" t="str">
        <f>IF(AND(LEFT('S.01.01.02'!$D$27,8)&lt;&gt;"Reported",'S.01.01.02'!$D$27&lt;&gt;""),Show!$B$3&amp; Show!$B$3&amp;"S.28.02.01.02 Rows{Z}@ForceFilingCode:false","")</f>
        <v/>
      </c>
    </row>
    <row r="454" spans="1:2">
      <c r="A454" t="str">
        <f>IF(AND(LEFT('S.01.01.02'!$D$27,8)&lt;&gt;"Reported",'S.01.01.02'!$D$27&lt;&gt;""),Show!$B$3 &amp; "S.28.02.01.03 Rows{Z}@ForceFilingCode:false","")</f>
        <v/>
      </c>
      <c r="B454" t="str">
        <f>IF(AND(LEFT('S.01.01.02'!$D$27,8)&lt;&gt;"Reported",'S.01.01.02'!$D$27&lt;&gt;""),Show!$B$3&amp; Show!$B$3&amp;"S.28.02.01.03 Rows{Z}@ForceFilingCode:false","")</f>
        <v/>
      </c>
    </row>
    <row r="455" spans="1:2">
      <c r="A455" t="str">
        <f>IF(AND(LEFT('S.01.01.02'!$D$27,8)&lt;&gt;"Reported",'S.01.01.02'!$D$27&lt;&gt;""),Show!$B$3 &amp; "S.28.02.01.04 Rows{Z}@ForceFilingCode:false","")</f>
        <v/>
      </c>
      <c r="B455" t="str">
        <f>IF(AND(LEFT('S.01.01.02'!$D$27,8)&lt;&gt;"Reported",'S.01.01.02'!$D$27&lt;&gt;""),Show!$B$3&amp; Show!$B$3&amp;"S.28.02.01.04 Rows{Z}@ForceFilingCode:false","")</f>
        <v/>
      </c>
    </row>
    <row r="456" spans="1:2">
      <c r="A456" t="str">
        <f>IF(AND(LEFT('S.01.01.02'!$D$27,8)&lt;&gt;"Reported",'S.01.01.02'!$D$27&lt;&gt;""),Show!$B$3 &amp; "S.28.02.01.05 Rows{Z}@ForceFilingCode:false","")</f>
        <v/>
      </c>
      <c r="B456" t="str">
        <f>IF(AND(LEFT('S.01.01.02'!$D$27,8)&lt;&gt;"Reported",'S.01.01.02'!$D$27&lt;&gt;""),Show!$B$3&amp; Show!$B$3&amp;"S.28.02.01.05 Rows{Z}@ForceFilingCode:false","")</f>
        <v/>
      </c>
    </row>
    <row r="457" spans="1:2">
      <c r="A457" t="str">
        <f>IF(AND(LEFT('S.01.01.02'!$D$27,8)&lt;&gt;"Reported",'S.01.01.02'!$D$27&lt;&gt;""),Show!$B$3 &amp; "S.28.02.01.06 Rows{Z}@ForceFilingCode:false","")</f>
        <v/>
      </c>
      <c r="B457" t="str">
        <f>IF(AND(LEFT('S.01.01.02'!$D$27,8)&lt;&gt;"Reported",'S.01.01.02'!$D$27&lt;&gt;""),Show!$B$3&amp; Show!$B$3&amp;"S.28.02.01.06 Rows{Z}@ForceFilingCode:false","")</f>
        <v/>
      </c>
    </row>
    <row r="458" spans="1:2">
      <c r="A458" t="str">
        <f>IF(AND(LEFT('S.01.01.04'!$D$16,8)&lt;&gt;"Reported",'S.01.01.04'!$D$16&lt;&gt;""),Show!$B$4 &amp; "S.01.02.04.01 Rows{Z}@ForceFilingCode:false","")</f>
        <v/>
      </c>
      <c r="B458" t="str">
        <f>IF(AND(LEFT('S.01.01.04'!$D$16,8)&lt;&gt;"Reported",'S.01.01.04'!$D$16&lt;&gt;""),Show!$B$4&amp; Show!$B$4&amp;"S.01.02.04.01 Rows{Z}@ForceFilingCode:false","")</f>
        <v/>
      </c>
    </row>
    <row r="459" spans="1:2">
      <c r="A459" t="str">
        <f>IF(AND(LEFT('S.01.01.04'!$D$17,8)&lt;&gt;"Reported",'S.01.01.04'!$D$17&lt;&gt;""),Show!$B$4 &amp; "S.01.03.04.01 Rows{Z}@ForceFilingCode:false","")</f>
        <v/>
      </c>
      <c r="B459" t="str">
        <f>IF(AND(LEFT('S.01.01.04'!$D$17,8)&lt;&gt;"Reported",'S.01.01.04'!$D$17&lt;&gt;""),Show!$B$4&amp; Show!$B$4&amp;"S.01.03.04.01 Rows{Z}@ForceFilingCode:false","")</f>
        <v/>
      </c>
    </row>
    <row r="460" spans="1:2">
      <c r="A460" t="str">
        <f>IF(AND(LEFT('S.01.01.04'!$D$17,8)&lt;&gt;"Reported",'S.01.01.04'!$D$17&lt;&gt;""),Show!$B$4 &amp; "S.01.03.04.02 Rows{Z}@ForceFilingCode:false","")</f>
        <v/>
      </c>
      <c r="B460" t="str">
        <f>IF(AND(LEFT('S.01.01.04'!$D$17,8)&lt;&gt;"Reported",'S.01.01.04'!$D$17&lt;&gt;""),Show!$B$4&amp; Show!$B$4&amp;"S.01.03.04.02 Rows{Z}@ForceFilingCode:false","")</f>
        <v/>
      </c>
    </row>
    <row r="461" spans="1:2">
      <c r="A461" t="str">
        <f>IF(AND(LEFT('S.01.01.04'!$D$18,8)&lt;&gt;"Reported",'S.01.01.04'!$D$18&lt;&gt;""),Show!$B$4 &amp; "S.02.01.01.01 Rows{Z}@ForceFilingCode:false","")</f>
        <v/>
      </c>
      <c r="B461" t="str">
        <f>IF(AND(LEFT('S.01.01.04'!$D$18,8)&lt;&gt;"Reported",'S.01.01.04'!$D$18&lt;&gt;""),Show!$B$4&amp; Show!$B$4&amp;"S.02.01.01.01 Rows{Z}@ForceFilingCode:false","")</f>
        <v/>
      </c>
    </row>
    <row r="462" spans="1:2">
      <c r="A462" t="str">
        <f>IF(AND(LEFT('S.01.01.04'!$D$19,8)&lt;&gt;"Reported",'S.01.01.04'!$D$19&lt;&gt;""),Show!$B$4 &amp; "S.02.02.01.01 Rows{Z}@ForceFilingCode:false","")</f>
        <v/>
      </c>
      <c r="B462" t="str">
        <f>IF(AND(LEFT('S.01.01.04'!$D$19,8)&lt;&gt;"Reported",'S.01.01.04'!$D$19&lt;&gt;""),Show!$B$4&amp; Show!$B$4&amp;"S.02.02.01.01 Rows{Z}@ForceFilingCode:false","")</f>
        <v/>
      </c>
    </row>
    <row r="463" spans="1:2">
      <c r="A463" t="str">
        <f>IF(AND(LEFT('S.01.01.04'!$D$19,8)&lt;&gt;"Reported",'S.01.01.04'!$D$19&lt;&gt;""),Show!$B$4 &amp; "S.02.02.01.02 Rows{Z}@ForceFilingCode:false","")</f>
        <v/>
      </c>
      <c r="B463" t="str">
        <f>IF(AND(LEFT('S.01.01.04'!$D$19,8)&lt;&gt;"Reported",'S.01.01.04'!$D$19&lt;&gt;""),Show!$B$4&amp; Show!$B$4&amp;"S.02.02.01.02 Rows{Z}@ForceFilingCode:false","")</f>
        <v/>
      </c>
    </row>
    <row r="464" spans="1:2">
      <c r="A464" t="str">
        <f>IF(AND(LEFT('S.01.01.04'!$D$20,8)&lt;&gt;"Reported",'S.01.01.04'!$D$20&lt;&gt;""),Show!$B$4 &amp; "S.03.01.04.01 Rows{Z}@ForceFilingCode:false","")</f>
        <v/>
      </c>
      <c r="B464" t="str">
        <f>IF(AND(LEFT('S.01.01.04'!$D$20,8)&lt;&gt;"Reported",'S.01.01.04'!$D$20&lt;&gt;""),Show!$B$4&amp; Show!$B$4&amp;"S.03.01.04.01 Rows{Z}@ForceFilingCode:false","")</f>
        <v/>
      </c>
    </row>
    <row r="465" spans="1:2">
      <c r="A465" t="str">
        <f>IF(AND(LEFT('S.01.01.04'!$D$20,8)&lt;&gt;"Reported",'S.01.01.04'!$D$20&lt;&gt;""),Show!$B$4 &amp; "S.03.01.04.02 Rows{Z}@ForceFilingCode:false","")</f>
        <v/>
      </c>
      <c r="B465" t="str">
        <f>IF(AND(LEFT('S.01.01.04'!$D$20,8)&lt;&gt;"Reported",'S.01.01.04'!$D$20&lt;&gt;""),Show!$B$4&amp; Show!$B$4&amp;"S.03.01.04.02 Rows{Z}@ForceFilingCode:false","")</f>
        <v/>
      </c>
    </row>
    <row r="466" spans="1:2">
      <c r="A466" t="str">
        <f>IF(AND(LEFT('S.01.01.04'!$D$21,8)&lt;&gt;"Reported",'S.01.01.04'!$D$21&lt;&gt;""),Show!$B$4 &amp; "S.03.02.04.01 Rows{Z}@ForceFilingCode:false","")</f>
        <v/>
      </c>
      <c r="B466" t="str">
        <f>IF(AND(LEFT('S.01.01.04'!$D$21,8)&lt;&gt;"Reported",'S.01.01.04'!$D$21&lt;&gt;""),Show!$B$4&amp; Show!$B$4&amp;"S.03.02.04.01 Rows{Z}@ForceFilingCode:false","")</f>
        <v/>
      </c>
    </row>
    <row r="467" spans="1:2">
      <c r="A467" t="str">
        <f>IF(AND(LEFT('S.01.01.04'!$D$22,8)&lt;&gt;"Reported",'S.01.01.04'!$D$22&lt;&gt;""),Show!$B$4 &amp; "S.03.03.04.01 Rows{Z}@ForceFilingCode:false","")</f>
        <v/>
      </c>
      <c r="B467" t="str">
        <f>IF(AND(LEFT('S.01.01.04'!$D$22,8)&lt;&gt;"Reported",'S.01.01.04'!$D$22&lt;&gt;""),Show!$B$4&amp; Show!$B$4&amp;"S.03.03.04.01 Rows{Z}@ForceFilingCode:false","")</f>
        <v/>
      </c>
    </row>
    <row r="468" spans="1:2">
      <c r="A468" t="str">
        <f>IF(AND(LEFT('S.01.01.04'!$D$23,8)&lt;&gt;"Reported",'S.01.01.04'!$D$23&lt;&gt;""),Show!$B$4 &amp; "S.05.01.01.01 Rows{Z}@ForceFilingCode:false","")</f>
        <v/>
      </c>
      <c r="B468" t="str">
        <f>IF(AND(LEFT('S.01.01.04'!$D$23,8)&lt;&gt;"Reported",'S.01.01.04'!$D$23&lt;&gt;""),Show!$B$4&amp; Show!$B$4&amp;"S.05.01.01.01 Rows{Z}@ForceFilingCode:false","")</f>
        <v/>
      </c>
    </row>
    <row r="469" spans="1:2">
      <c r="A469" t="str">
        <f>IF(AND(LEFT('S.01.01.04'!$D$23,8)&lt;&gt;"Reported",'S.01.01.04'!$D$23&lt;&gt;""),Show!$B$4 &amp; "S.05.01.01.02 Rows{Z}@ForceFilingCode:false","")</f>
        <v/>
      </c>
      <c r="B469" t="str">
        <f>IF(AND(LEFT('S.01.01.04'!$D$23,8)&lt;&gt;"Reported",'S.01.01.04'!$D$23&lt;&gt;""),Show!$B$4&amp; Show!$B$4&amp;"S.05.01.01.02 Rows{Z}@ForceFilingCode:false","")</f>
        <v/>
      </c>
    </row>
    <row r="470" spans="1:2">
      <c r="A470" t="str">
        <f>IF(AND(LEFT('S.01.01.04'!$D$24,8)&lt;&gt;"Reported",'S.01.01.04'!$D$24&lt;&gt;""),Show!$B$4 &amp; "S.05.02.01.01 Rows{Z}@ForceFilingCode:false","")</f>
        <v/>
      </c>
      <c r="B470" t="str">
        <f>IF(AND(LEFT('S.01.01.04'!$D$24,8)&lt;&gt;"Reported",'S.01.01.04'!$D$24&lt;&gt;""),Show!$B$4&amp; Show!$B$4&amp;"S.05.02.01.01 Rows{Z}@ForceFilingCode:false","")</f>
        <v/>
      </c>
    </row>
    <row r="471" spans="1:2">
      <c r="A471" t="str">
        <f>IF(AND(LEFT('S.01.01.04'!$D$24,8)&lt;&gt;"Reported",'S.01.01.04'!$D$24&lt;&gt;""),Show!$B$4 &amp; "S.05.02.01.02 Rows{Z}@ForceFilingCode:false","")</f>
        <v/>
      </c>
      <c r="B471" t="str">
        <f>IF(AND(LEFT('S.01.01.04'!$D$24,8)&lt;&gt;"Reported",'S.01.01.04'!$D$24&lt;&gt;""),Show!$B$4&amp; Show!$B$4&amp;"S.05.02.01.02 Rows{Z}@ForceFilingCode:false","")</f>
        <v/>
      </c>
    </row>
    <row r="472" spans="1:2">
      <c r="A472" t="str">
        <f>IF(AND(LEFT('S.01.01.04'!$D$24,8)&lt;&gt;"Reported",'S.01.01.04'!$D$24&lt;&gt;""),Show!$B$4 &amp; "S.05.02.01.03 Rows{Z}@ForceFilingCode:false","")</f>
        <v/>
      </c>
      <c r="B472" t="str">
        <f>IF(AND(LEFT('S.01.01.04'!$D$24,8)&lt;&gt;"Reported",'S.01.01.04'!$D$24&lt;&gt;""),Show!$B$4&amp; Show!$B$4&amp;"S.05.02.01.03 Rows{Z}@ForceFilingCode:false","")</f>
        <v/>
      </c>
    </row>
    <row r="473" spans="1:2">
      <c r="A473" t="str">
        <f>IF(AND(LEFT('S.01.01.04'!$D$24,8)&lt;&gt;"Reported",'S.01.01.04'!$D$24&lt;&gt;""),Show!$B$4 &amp; "S.05.02.01.04 Rows{Z}@ForceFilingCode:false","")</f>
        <v/>
      </c>
      <c r="B473" t="str">
        <f>IF(AND(LEFT('S.01.01.04'!$D$24,8)&lt;&gt;"Reported",'S.01.01.04'!$D$24&lt;&gt;""),Show!$B$4&amp; Show!$B$4&amp;"S.05.02.01.04 Rows{Z}@ForceFilingCode:false","")</f>
        <v/>
      </c>
    </row>
    <row r="474" spans="1:2">
      <c r="A474" t="str">
        <f>IF(AND(LEFT('S.01.01.04'!$D$24,8)&lt;&gt;"Reported",'S.01.01.04'!$D$24&lt;&gt;""),Show!$B$4 &amp; "S.05.02.01.05 Rows{Z}@ForceFilingCode:false","")</f>
        <v/>
      </c>
      <c r="B474" t="str">
        <f>IF(AND(LEFT('S.01.01.04'!$D$24,8)&lt;&gt;"Reported",'S.01.01.04'!$D$24&lt;&gt;""),Show!$B$4&amp; Show!$B$4&amp;"S.05.02.01.05 Rows{Z}@ForceFilingCode:false","")</f>
        <v/>
      </c>
    </row>
    <row r="475" spans="1:2">
      <c r="A475" t="str">
        <f>IF(AND(LEFT('S.01.01.04'!$D$24,8)&lt;&gt;"Reported",'S.01.01.04'!$D$24&lt;&gt;""),Show!$B$4 &amp; "S.05.02.01.06 Rows{Z}@ForceFilingCode:false","")</f>
        <v/>
      </c>
      <c r="B475" t="str">
        <f>IF(AND(LEFT('S.01.01.04'!$D$24,8)&lt;&gt;"Reported",'S.01.01.04'!$D$24&lt;&gt;""),Show!$B$4&amp; Show!$B$4&amp;"S.05.02.01.06 Rows{Z}@ForceFilingCode:false","")</f>
        <v/>
      </c>
    </row>
    <row r="476" spans="1:2">
      <c r="A476" t="str">
        <f>IF(AND(LEFT('S.01.01.04'!$D$25,8)&lt;&gt;"Reported",'S.01.01.04'!$D$25&lt;&gt;""),Show!$B$4 &amp; "S.06.01.01.01 Rows{Z}@ForceFilingCode:false","")</f>
        <v/>
      </c>
      <c r="B476" t="str">
        <f>IF(AND(LEFT('S.01.01.04'!$D$25,8)&lt;&gt;"Reported",'S.01.01.04'!$D$25&lt;&gt;""),Show!$B$4&amp; Show!$B$4&amp;"S.06.01.01.01 Rows{Z}@ForceFilingCode:false","")</f>
        <v/>
      </c>
    </row>
    <row r="477" spans="1:2">
      <c r="A477" t="str">
        <f>IF(AND(LEFT('S.01.01.04'!$D$26,8)&lt;&gt;"Reported",'S.01.01.04'!$D$26&lt;&gt;""),Show!$B$4 &amp; "S.06.02.04.01 Rows{Z}@ForceFilingCode:false","")</f>
        <v/>
      </c>
      <c r="B477" t="str">
        <f>IF(AND(LEFT('S.01.01.04'!$D$26,8)&lt;&gt;"Reported",'S.01.01.04'!$D$26&lt;&gt;""),Show!$B$4&amp; Show!$B$4&amp;"S.06.02.04.01 Rows{Z}@ForceFilingCode:false","")</f>
        <v/>
      </c>
    </row>
    <row r="478" spans="1:2">
      <c r="A478" t="str">
        <f>IF(AND(LEFT('S.01.01.04'!$D$26,8)&lt;&gt;"Reported",'S.01.01.04'!$D$26&lt;&gt;""),Show!$B$4 &amp; "S.06.02.04.02 Rows{Z}@ForceFilingCode:false","")</f>
        <v/>
      </c>
      <c r="B478" t="str">
        <f>IF(AND(LEFT('S.01.01.04'!$D$26,8)&lt;&gt;"Reported",'S.01.01.04'!$D$26&lt;&gt;""),Show!$B$4&amp; Show!$B$4&amp;"S.06.02.04.02 Rows{Z}@ForceFilingCode:false","")</f>
        <v/>
      </c>
    </row>
    <row r="479" spans="1:2">
      <c r="A479" t="str">
        <f>IF(AND(LEFT('S.01.01.04'!$D$27,8)&lt;&gt;"Reported",'S.01.01.04'!$D$27&lt;&gt;""),Show!$B$4 &amp; "S.06.03.04.01 Rows{Z}@ForceFilingCode:false","")</f>
        <v/>
      </c>
      <c r="B479" t="str">
        <f>IF(AND(LEFT('S.01.01.04'!$D$27,8)&lt;&gt;"Reported",'S.01.01.04'!$D$27&lt;&gt;""),Show!$B$4&amp; Show!$B$4&amp;"S.06.03.04.01 Rows{Z}@ForceFilingCode:false","")</f>
        <v/>
      </c>
    </row>
    <row r="480" spans="1:2">
      <c r="A480" t="str">
        <f>IF(AND(LEFT('S.01.01.04'!$D$28,8)&lt;&gt;"Reported",'S.01.01.04'!$D$28&lt;&gt;""),Show!$B$4 &amp; "S.07.01.04.01 Rows{Z}@ForceFilingCode:false","")</f>
        <v/>
      </c>
      <c r="B480" t="str">
        <f>IF(AND(LEFT('S.01.01.04'!$D$28,8)&lt;&gt;"Reported",'S.01.01.04'!$D$28&lt;&gt;""),Show!$B$4&amp; Show!$B$4&amp;"S.07.01.04.01 Rows{Z}@ForceFilingCode:false","")</f>
        <v/>
      </c>
    </row>
    <row r="481" spans="1:2">
      <c r="A481" t="str">
        <f>IF(AND(LEFT('S.01.01.04'!$D$29,8)&lt;&gt;"Reported",'S.01.01.04'!$D$29&lt;&gt;""),Show!$B$4 &amp; "S.08.01.04.01 Rows{Z}@ForceFilingCode:false","")</f>
        <v/>
      </c>
      <c r="B481" t="str">
        <f>IF(AND(LEFT('S.01.01.04'!$D$29,8)&lt;&gt;"Reported",'S.01.01.04'!$D$29&lt;&gt;""),Show!$B$4&amp; Show!$B$4&amp;"S.08.01.04.01 Rows{Z}@ForceFilingCode:false","")</f>
        <v/>
      </c>
    </row>
    <row r="482" spans="1:2">
      <c r="A482" t="str">
        <f>IF(AND(LEFT('S.01.01.04'!$D$29,8)&lt;&gt;"Reported",'S.01.01.04'!$D$29&lt;&gt;""),Show!$B$4 &amp; "S.08.01.04.02 Rows{Z}@ForceFilingCode:false","")</f>
        <v/>
      </c>
      <c r="B482" t="str">
        <f>IF(AND(LEFT('S.01.01.04'!$D$29,8)&lt;&gt;"Reported",'S.01.01.04'!$D$29&lt;&gt;""),Show!$B$4&amp; Show!$B$4&amp;"S.08.01.04.02 Rows{Z}@ForceFilingCode:false","")</f>
        <v/>
      </c>
    </row>
    <row r="483" spans="1:2">
      <c r="A483" t="str">
        <f>IF(AND(LEFT('S.01.01.04'!$D$30,8)&lt;&gt;"Reported",'S.01.01.04'!$D$30&lt;&gt;""),Show!$B$4 &amp; "S.08.02.04.01 Rows{Z}@ForceFilingCode:false","")</f>
        <v/>
      </c>
      <c r="B483" t="str">
        <f>IF(AND(LEFT('S.01.01.04'!$D$30,8)&lt;&gt;"Reported",'S.01.01.04'!$D$30&lt;&gt;""),Show!$B$4&amp; Show!$B$4&amp;"S.08.02.04.01 Rows{Z}@ForceFilingCode:false","")</f>
        <v/>
      </c>
    </row>
    <row r="484" spans="1:2">
      <c r="A484" t="str">
        <f>IF(AND(LEFT('S.01.01.04'!$D$30,8)&lt;&gt;"Reported",'S.01.01.04'!$D$30&lt;&gt;""),Show!$B$4 &amp; "S.08.02.04.02 Rows{Z}@ForceFilingCode:false","")</f>
        <v/>
      </c>
      <c r="B484" t="str">
        <f>IF(AND(LEFT('S.01.01.04'!$D$30,8)&lt;&gt;"Reported",'S.01.01.04'!$D$30&lt;&gt;""),Show!$B$4&amp; Show!$B$4&amp;"S.08.02.04.02 Rows{Z}@ForceFilingCode:false","")</f>
        <v/>
      </c>
    </row>
    <row r="485" spans="1:2">
      <c r="A485" t="str">
        <f>IF(AND(LEFT('S.01.01.04'!$D$31,8)&lt;&gt;"Reported",'S.01.01.04'!$D$31&lt;&gt;""),Show!$B$4 &amp; "S.09.01.04.01 Rows{Z}@ForceFilingCode:false","")</f>
        <v/>
      </c>
      <c r="B485" t="str">
        <f>IF(AND(LEFT('S.01.01.04'!$D$31,8)&lt;&gt;"Reported",'S.01.01.04'!$D$31&lt;&gt;""),Show!$B$4&amp; Show!$B$4&amp;"S.09.01.04.01 Rows{Z}@ForceFilingCode:false","")</f>
        <v/>
      </c>
    </row>
    <row r="486" spans="1:2">
      <c r="A486" t="str">
        <f>IF(AND(LEFT('S.01.01.04'!$D$32,8)&lt;&gt;"Reported",'S.01.01.04'!$D$32&lt;&gt;""),Show!$B$4 &amp; "S.10.01.04.01 Rows{Z}@ForceFilingCode:false","")</f>
        <v/>
      </c>
      <c r="B486" t="str">
        <f>IF(AND(LEFT('S.01.01.04'!$D$32,8)&lt;&gt;"Reported",'S.01.01.04'!$D$32&lt;&gt;""),Show!$B$4&amp; Show!$B$4&amp;"S.10.01.04.01 Rows{Z}@ForceFilingCode:false","")</f>
        <v/>
      </c>
    </row>
    <row r="487" spans="1:2">
      <c r="A487" t="str">
        <f>IF(AND(LEFT('S.01.01.04'!$D$33,8)&lt;&gt;"Reported",'S.01.01.04'!$D$33&lt;&gt;""),Show!$B$4 &amp; "S.11.01.04.01 Rows{Z}@ForceFilingCode:false","")</f>
        <v/>
      </c>
      <c r="B487" t="str">
        <f>IF(AND(LEFT('S.01.01.04'!$D$33,8)&lt;&gt;"Reported",'S.01.01.04'!$D$33&lt;&gt;""),Show!$B$4&amp; Show!$B$4&amp;"S.11.01.04.01 Rows{Z}@ForceFilingCode:false","")</f>
        <v/>
      </c>
    </row>
    <row r="488" spans="1:2">
      <c r="A488" t="str">
        <f>IF(AND(LEFT('S.01.01.04'!$D$33,8)&lt;&gt;"Reported",'S.01.01.04'!$D$33&lt;&gt;""),Show!$B$4 &amp; "S.11.01.04.02 Rows{Z}@ForceFilingCode:false","")</f>
        <v/>
      </c>
      <c r="B488" t="str">
        <f>IF(AND(LEFT('S.01.01.04'!$D$33,8)&lt;&gt;"Reported",'S.01.01.04'!$D$33&lt;&gt;""),Show!$B$4&amp; Show!$B$4&amp;"S.11.01.04.02 Rows{Z}@ForceFilingCode:false","")</f>
        <v/>
      </c>
    </row>
    <row r="489" spans="1:2">
      <c r="A489" t="str">
        <f>IF(AND(LEFT('S.01.01.04'!$D$34,8)&lt;&gt;"Reported",'S.01.01.04'!$D$34&lt;&gt;""),Show!$B$4 &amp; "S.15.01.04.01 Rows{Z}@ForceFilingCode:false","")</f>
        <v/>
      </c>
      <c r="B489" t="str">
        <f>IF(AND(LEFT('S.01.01.04'!$D$34,8)&lt;&gt;"Reported",'S.01.01.04'!$D$34&lt;&gt;""),Show!$B$4&amp; Show!$B$4&amp;"S.15.01.04.01 Rows{Z}@ForceFilingCode:false","")</f>
        <v/>
      </c>
    </row>
    <row r="490" spans="1:2">
      <c r="A490" t="str">
        <f>IF(AND(LEFT('S.01.01.04'!$D$35,8)&lt;&gt;"Reported",'S.01.01.04'!$D$35&lt;&gt;""),Show!$B$4 &amp; "S.15.02.04.01 Rows{Z}@ForceFilingCode:false","")</f>
        <v/>
      </c>
      <c r="B490" t="str">
        <f>IF(AND(LEFT('S.01.01.04'!$D$35,8)&lt;&gt;"Reported",'S.01.01.04'!$D$35&lt;&gt;""),Show!$B$4&amp; Show!$B$4&amp;"S.15.02.04.01 Rows{Z}@ForceFilingCode:false","")</f>
        <v/>
      </c>
    </row>
    <row r="491" spans="1:2">
      <c r="A491" t="str">
        <f>IF(AND(LEFT('S.01.01.04'!$D$36,8)&lt;&gt;"Reported",'S.01.01.04'!$D$36&lt;&gt;""),Show!$B$4 &amp; "S.22.01.04.01 Rows{Z}@ForceFilingCode:false","")</f>
        <v/>
      </c>
      <c r="B491" t="str">
        <f>IF(AND(LEFT('S.01.01.04'!$D$36,8)&lt;&gt;"Reported",'S.01.01.04'!$D$36&lt;&gt;""),Show!$B$4&amp; Show!$B$4&amp;"S.22.01.04.01 Rows{Z}@ForceFilingCode:false","")</f>
        <v/>
      </c>
    </row>
    <row r="492" spans="1:2">
      <c r="A492" t="str">
        <f>IF(AND(LEFT('S.01.01.04'!$D$37,8)&lt;&gt;"Reported",'S.01.01.04'!$D$37&lt;&gt;""),Show!$B$4 &amp; "S.23.01.04.01 Rows{Z}@ForceFilingCode:false","")</f>
        <v/>
      </c>
      <c r="B492" t="str">
        <f>IF(AND(LEFT('S.01.01.04'!$D$37,8)&lt;&gt;"Reported",'S.01.01.04'!$D$37&lt;&gt;""),Show!$B$4&amp; Show!$B$4&amp;"S.23.01.04.01 Rows{Z}@ForceFilingCode:false","")</f>
        <v/>
      </c>
    </row>
    <row r="493" spans="1:2">
      <c r="A493" t="str">
        <f>IF(AND(LEFT('S.01.01.04'!$D$37,8)&lt;&gt;"Reported",'S.01.01.04'!$D$37&lt;&gt;""),Show!$B$4 &amp; "S.23.01.04.02 Rows{Z}@ForceFilingCode:false","")</f>
        <v/>
      </c>
      <c r="B493" t="str">
        <f>IF(AND(LEFT('S.01.01.04'!$D$37,8)&lt;&gt;"Reported",'S.01.01.04'!$D$37&lt;&gt;""),Show!$B$4&amp; Show!$B$4&amp;"S.23.01.04.02 Rows{Z}@ForceFilingCode:false","")</f>
        <v/>
      </c>
    </row>
    <row r="494" spans="1:2">
      <c r="A494" t="str">
        <f>IF(AND(LEFT('S.01.01.04'!$D$38,8)&lt;&gt;"Reported",'S.01.01.04'!$D$38&lt;&gt;""),Show!$B$4 &amp; "S.23.02.04.01 Rows{Z}@ForceFilingCode:false","")</f>
        <v/>
      </c>
      <c r="B494" t="str">
        <f>IF(AND(LEFT('S.01.01.04'!$D$38,8)&lt;&gt;"Reported",'S.01.01.04'!$D$38&lt;&gt;""),Show!$B$4&amp; Show!$B$4&amp;"S.23.02.04.01 Rows{Z}@ForceFilingCode:false","")</f>
        <v/>
      </c>
    </row>
    <row r="495" spans="1:2">
      <c r="A495" t="str">
        <f>IF(AND(LEFT('S.01.01.04'!$D$38,8)&lt;&gt;"Reported",'S.01.01.04'!$D$38&lt;&gt;""),Show!$B$4 &amp; "S.23.02.04.02 Rows{Z}@ForceFilingCode:false","")</f>
        <v/>
      </c>
      <c r="B495" t="str">
        <f>IF(AND(LEFT('S.01.01.04'!$D$38,8)&lt;&gt;"Reported",'S.01.01.04'!$D$38&lt;&gt;""),Show!$B$4&amp; Show!$B$4&amp;"S.23.02.04.02 Rows{Z}@ForceFilingCode:false","")</f>
        <v/>
      </c>
    </row>
    <row r="496" spans="1:2">
      <c r="A496" t="str">
        <f>IF(AND(LEFT('S.01.01.04'!$D$38,8)&lt;&gt;"Reported",'S.01.01.04'!$D$38&lt;&gt;""),Show!$B$4 &amp; "S.23.02.04.03 Rows{Z}@ForceFilingCode:false","")</f>
        <v/>
      </c>
      <c r="B496" t="str">
        <f>IF(AND(LEFT('S.01.01.04'!$D$38,8)&lt;&gt;"Reported",'S.01.01.04'!$D$38&lt;&gt;""),Show!$B$4&amp; Show!$B$4&amp;"S.23.02.04.03 Rows{Z}@ForceFilingCode:false","")</f>
        <v/>
      </c>
    </row>
    <row r="497" spans="1:2">
      <c r="A497" t="str">
        <f>IF(AND(LEFT('S.01.01.04'!$D$38,8)&lt;&gt;"Reported",'S.01.01.04'!$D$38&lt;&gt;""),Show!$B$4 &amp; "S.23.02.04.04 Rows{Z}@ForceFilingCode:false","")</f>
        <v/>
      </c>
      <c r="B497" t="str">
        <f>IF(AND(LEFT('S.01.01.04'!$D$38,8)&lt;&gt;"Reported",'S.01.01.04'!$D$38&lt;&gt;""),Show!$B$4&amp; Show!$B$4&amp;"S.23.02.04.04 Rows{Z}@ForceFilingCode:false","")</f>
        <v/>
      </c>
    </row>
    <row r="498" spans="1:2">
      <c r="A498" t="str">
        <f>IF(AND(LEFT('S.01.01.04'!$D$39,8)&lt;&gt;"Reported",'S.01.01.04'!$D$39&lt;&gt;""),Show!$B$4 &amp; "S.23.03.04.01 Rows{Z}@ForceFilingCode:false","")</f>
        <v/>
      </c>
      <c r="B498" t="str">
        <f>IF(AND(LEFT('S.01.01.04'!$D$39,8)&lt;&gt;"Reported",'S.01.01.04'!$D$39&lt;&gt;""),Show!$B$4&amp; Show!$B$4&amp;"S.23.03.04.01 Rows{Z}@ForceFilingCode:false","")</f>
        <v/>
      </c>
    </row>
    <row r="499" spans="1:2">
      <c r="A499" t="str">
        <f>IF(AND(LEFT('S.01.01.04'!$D$39,8)&lt;&gt;"Reported",'S.01.01.04'!$D$39&lt;&gt;""),Show!$B$4 &amp; "S.23.03.04.02 Rows{Z}@ForceFilingCode:false","")</f>
        <v/>
      </c>
      <c r="B499" t="str">
        <f>IF(AND(LEFT('S.01.01.04'!$D$39,8)&lt;&gt;"Reported",'S.01.01.04'!$D$39&lt;&gt;""),Show!$B$4&amp; Show!$B$4&amp;"S.23.03.04.02 Rows{Z}@ForceFilingCode:false","")</f>
        <v/>
      </c>
    </row>
    <row r="500" spans="1:2">
      <c r="A500" t="str">
        <f>IF(AND(LEFT('S.01.01.04'!$D$39,8)&lt;&gt;"Reported",'S.01.01.04'!$D$39&lt;&gt;""),Show!$B$4 &amp; "S.23.03.04.03 Rows{Z}@ForceFilingCode:false","")</f>
        <v/>
      </c>
      <c r="B500" t="str">
        <f>IF(AND(LEFT('S.01.01.04'!$D$39,8)&lt;&gt;"Reported",'S.01.01.04'!$D$39&lt;&gt;""),Show!$B$4&amp; Show!$B$4&amp;"S.23.03.04.03 Rows{Z}@ForceFilingCode:false","")</f>
        <v/>
      </c>
    </row>
    <row r="501" spans="1:2">
      <c r="A501" t="str">
        <f>IF(AND(LEFT('S.01.01.04'!$D$39,8)&lt;&gt;"Reported",'S.01.01.04'!$D$39&lt;&gt;""),Show!$B$4 &amp; "S.23.03.04.04 Rows{Z}@ForceFilingCode:false","")</f>
        <v/>
      </c>
      <c r="B501" t="str">
        <f>IF(AND(LEFT('S.01.01.04'!$D$39,8)&lt;&gt;"Reported",'S.01.01.04'!$D$39&lt;&gt;""),Show!$B$4&amp; Show!$B$4&amp;"S.23.03.04.04 Rows{Z}@ForceFilingCode:false","")</f>
        <v/>
      </c>
    </row>
    <row r="502" spans="1:2">
      <c r="A502" t="str">
        <f>IF(AND(LEFT('S.01.01.04'!$D$39,8)&lt;&gt;"Reported",'S.01.01.04'!$D$39&lt;&gt;""),Show!$B$4 &amp; "S.23.03.04.05 Rows{Z}@ForceFilingCode:false","")</f>
        <v/>
      </c>
      <c r="B502" t="str">
        <f>IF(AND(LEFT('S.01.01.04'!$D$39,8)&lt;&gt;"Reported",'S.01.01.04'!$D$39&lt;&gt;""),Show!$B$4&amp; Show!$B$4&amp;"S.23.03.04.05 Rows{Z}@ForceFilingCode:false","")</f>
        <v/>
      </c>
    </row>
    <row r="503" spans="1:2">
      <c r="A503" t="str">
        <f>IF(AND(LEFT('S.01.01.04'!$D$39,8)&lt;&gt;"Reported",'S.01.01.04'!$D$39&lt;&gt;""),Show!$B$4 &amp; "S.23.03.04.06 Rows{Z}@ForceFilingCode:false","")</f>
        <v/>
      </c>
      <c r="B503" t="str">
        <f>IF(AND(LEFT('S.01.01.04'!$D$39,8)&lt;&gt;"Reported",'S.01.01.04'!$D$39&lt;&gt;""),Show!$B$4&amp; Show!$B$4&amp;"S.23.03.04.06 Rows{Z}@ForceFilingCode:false","")</f>
        <v/>
      </c>
    </row>
    <row r="504" spans="1:2">
      <c r="A504" t="str">
        <f>IF(AND(LEFT('S.01.01.04'!$D$39,8)&lt;&gt;"Reported",'S.01.01.04'!$D$39&lt;&gt;""),Show!$B$4 &amp; "S.23.03.04.07 Rows{Z}@ForceFilingCode:false","")</f>
        <v/>
      </c>
      <c r="B504" t="str">
        <f>IF(AND(LEFT('S.01.01.04'!$D$39,8)&lt;&gt;"Reported",'S.01.01.04'!$D$39&lt;&gt;""),Show!$B$4&amp; Show!$B$4&amp;"S.23.03.04.07 Rows{Z}@ForceFilingCode:false","")</f>
        <v/>
      </c>
    </row>
    <row r="505" spans="1:2">
      <c r="A505" t="str">
        <f>IF(AND(LEFT('S.01.01.04'!$D$39,8)&lt;&gt;"Reported",'S.01.01.04'!$D$39&lt;&gt;""),Show!$B$4 &amp; "S.23.03.04.08 Rows{Z}@ForceFilingCode:false","")</f>
        <v/>
      </c>
      <c r="B505" t="str">
        <f>IF(AND(LEFT('S.01.01.04'!$D$39,8)&lt;&gt;"Reported",'S.01.01.04'!$D$39&lt;&gt;""),Show!$B$4&amp; Show!$B$4&amp;"S.23.03.04.08 Rows{Z}@ForceFilingCode:false","")</f>
        <v/>
      </c>
    </row>
    <row r="506" spans="1:2">
      <c r="A506" t="str">
        <f>IF(AND(LEFT('S.01.01.04'!$D$40,8)&lt;&gt;"Reported",'S.01.01.04'!$D$40&lt;&gt;""),Show!$B$4 &amp; "S.23.04.04.01 Rows{Z}@ForceFilingCode:false","")</f>
        <v/>
      </c>
      <c r="B506" t="str">
        <f>IF(AND(LEFT('S.01.01.04'!$D$40,8)&lt;&gt;"Reported",'S.01.01.04'!$D$40&lt;&gt;""),Show!$B$4&amp; Show!$B$4&amp;"S.23.04.04.01 Rows{Z}@ForceFilingCode:false","")</f>
        <v/>
      </c>
    </row>
    <row r="507" spans="1:2">
      <c r="A507" t="str">
        <f>IF(AND(LEFT('S.01.01.04'!$D$40,8)&lt;&gt;"Reported",'S.01.01.04'!$D$40&lt;&gt;""),Show!$B$4 &amp; "S.23.04.04.02 Rows{Z}@ForceFilingCode:false","")</f>
        <v/>
      </c>
      <c r="B507" t="str">
        <f>IF(AND(LEFT('S.01.01.04'!$D$40,8)&lt;&gt;"Reported",'S.01.01.04'!$D$40&lt;&gt;""),Show!$B$4&amp; Show!$B$4&amp;"S.23.04.04.02 Rows{Z}@ForceFilingCode:false","")</f>
        <v/>
      </c>
    </row>
    <row r="508" spans="1:2">
      <c r="A508" t="str">
        <f>IF(AND(LEFT('S.01.01.04'!$D$40,8)&lt;&gt;"Reported",'S.01.01.04'!$D$40&lt;&gt;""),Show!$B$4 &amp; "S.23.04.04.03 Rows{Z}@ForceFilingCode:false","")</f>
        <v/>
      </c>
      <c r="B508" t="str">
        <f>IF(AND(LEFT('S.01.01.04'!$D$40,8)&lt;&gt;"Reported",'S.01.01.04'!$D$40&lt;&gt;""),Show!$B$4&amp; Show!$B$4&amp;"S.23.04.04.03 Rows{Z}@ForceFilingCode:false","")</f>
        <v/>
      </c>
    </row>
    <row r="509" spans="1:2">
      <c r="A509" t="str">
        <f>IF(AND(LEFT('S.01.01.04'!$D$40,8)&lt;&gt;"Reported",'S.01.01.04'!$D$40&lt;&gt;""),Show!$B$4 &amp; "S.23.04.04.04 Rows{Z}@ForceFilingCode:false","")</f>
        <v/>
      </c>
      <c r="B509" t="str">
        <f>IF(AND(LEFT('S.01.01.04'!$D$40,8)&lt;&gt;"Reported",'S.01.01.04'!$D$40&lt;&gt;""),Show!$B$4&amp; Show!$B$4&amp;"S.23.04.04.04 Rows{Z}@ForceFilingCode:false","")</f>
        <v/>
      </c>
    </row>
    <row r="510" spans="1:2">
      <c r="A510" t="str">
        <f>IF(AND(LEFT('S.01.01.04'!$D$40,8)&lt;&gt;"Reported",'S.01.01.04'!$D$40&lt;&gt;""),Show!$B$4 &amp; "S.23.04.04.05 Rows{Z}@ForceFilingCode:false","")</f>
        <v/>
      </c>
      <c r="B510" t="str">
        <f>IF(AND(LEFT('S.01.01.04'!$D$40,8)&lt;&gt;"Reported",'S.01.01.04'!$D$40&lt;&gt;""),Show!$B$4&amp; Show!$B$4&amp;"S.23.04.04.05 Rows{Z}@ForceFilingCode:false","")</f>
        <v/>
      </c>
    </row>
    <row r="511" spans="1:2">
      <c r="A511" t="str">
        <f>IF(AND(LEFT('S.01.01.04'!$D$40,8)&lt;&gt;"Reported",'S.01.01.04'!$D$40&lt;&gt;""),Show!$B$4 &amp; "S.23.04.04.06 Rows{Z}@ForceFilingCode:false","")</f>
        <v/>
      </c>
      <c r="B511" t="str">
        <f>IF(AND(LEFT('S.01.01.04'!$D$40,8)&lt;&gt;"Reported",'S.01.01.04'!$D$40&lt;&gt;""),Show!$B$4&amp; Show!$B$4&amp;"S.23.04.04.06 Rows{Z}@ForceFilingCode:false","")</f>
        <v/>
      </c>
    </row>
    <row r="512" spans="1:2">
      <c r="A512" t="str">
        <f>IF(AND(LEFT('S.01.01.04'!$D$40,8)&lt;&gt;"Reported",'S.01.01.04'!$D$40&lt;&gt;""),Show!$B$4 &amp; "S.23.04.04.07 Rows{Z}@ForceFilingCode:false","")</f>
        <v/>
      </c>
      <c r="B512" t="str">
        <f>IF(AND(LEFT('S.01.01.04'!$D$40,8)&lt;&gt;"Reported",'S.01.01.04'!$D$40&lt;&gt;""),Show!$B$4&amp; Show!$B$4&amp;"S.23.04.04.07 Rows{Z}@ForceFilingCode:false","")</f>
        <v/>
      </c>
    </row>
    <row r="513" spans="1:2">
      <c r="A513" t="str">
        <f>IF(AND(LEFT('S.01.01.04'!$D$40,8)&lt;&gt;"Reported",'S.01.01.04'!$D$40&lt;&gt;""),Show!$B$4 &amp; "S.23.04.04.09 Rows{Z}@ForceFilingCode:false","")</f>
        <v/>
      </c>
      <c r="B513" t="str">
        <f>IF(AND(LEFT('S.01.01.04'!$D$40,8)&lt;&gt;"Reported",'S.01.01.04'!$D$40&lt;&gt;""),Show!$B$4&amp; Show!$B$4&amp;"S.23.04.04.09 Rows{Z}@ForceFilingCode:false","")</f>
        <v/>
      </c>
    </row>
    <row r="514" spans="1:2">
      <c r="A514" t="str">
        <f>IF(AND(LEFT('S.01.01.04'!$D$40,8)&lt;&gt;"Reported",'S.01.01.04'!$D$40&lt;&gt;""),Show!$B$4 &amp; "S.23.04.04.10 Rows{Z}@ForceFilingCode:false","")</f>
        <v/>
      </c>
      <c r="B514" t="str">
        <f>IF(AND(LEFT('S.01.01.04'!$D$40,8)&lt;&gt;"Reported",'S.01.01.04'!$D$40&lt;&gt;""),Show!$B$4&amp; Show!$B$4&amp;"S.23.04.04.10 Rows{Z}@ForceFilingCode:false","")</f>
        <v/>
      </c>
    </row>
    <row r="515" spans="1:2">
      <c r="A515" t="str">
        <f>IF(AND(LEFT('S.01.01.04'!$D$40,8)&lt;&gt;"Reported",'S.01.01.04'!$D$40&lt;&gt;""),Show!$B$4 &amp; "S.23.04.04.11 Rows{Z}@ForceFilingCode:false","")</f>
        <v/>
      </c>
      <c r="B515" t="str">
        <f>IF(AND(LEFT('S.01.01.04'!$D$40,8)&lt;&gt;"Reported",'S.01.01.04'!$D$40&lt;&gt;""),Show!$B$4&amp; Show!$B$4&amp;"S.23.04.04.11 Rows{Z}@ForceFilingCode:false","")</f>
        <v/>
      </c>
    </row>
    <row r="516" spans="1:2">
      <c r="A516" t="str">
        <f>IF(AND(LEFT('S.01.01.04'!$D$41,8)&lt;&gt;"Reported",'S.01.01.04'!$D$41&lt;&gt;""),Show!$B$4 &amp; "S.25.01.04.01 Rows{Z}@ForceFilingCode:false","")</f>
        <v/>
      </c>
      <c r="B516" t="str">
        <f>IF(AND(LEFT('S.01.01.04'!$D$41,8)&lt;&gt;"Reported",'S.01.01.04'!$D$41&lt;&gt;""),Show!$B$4&amp; Show!$B$4&amp;"S.25.01.04.01 Rows{Z}@ForceFilingCode:false","")</f>
        <v/>
      </c>
    </row>
    <row r="517" spans="1:2">
      <c r="A517" t="str">
        <f>IF(AND(LEFT('S.01.01.04'!$D$41,8)&lt;&gt;"Reported",'S.01.01.04'!$D$41&lt;&gt;""),Show!$B$4 &amp; "S.25.01.04.02 Rows{Z}@ForceFilingCode:false","")</f>
        <v/>
      </c>
      <c r="B517" t="str">
        <f>IF(AND(LEFT('S.01.01.04'!$D$41,8)&lt;&gt;"Reported",'S.01.01.04'!$D$41&lt;&gt;""),Show!$B$4&amp; Show!$B$4&amp;"S.25.01.04.02 Rows{Z}@ForceFilingCode:false","")</f>
        <v/>
      </c>
    </row>
    <row r="518" spans="1:2">
      <c r="A518" t="str">
        <f>IF(AND(LEFT('S.01.01.04'!$D$42,8)&lt;&gt;"Reported",'S.01.01.04'!$D$42&lt;&gt;""),Show!$B$4 &amp; "S.25.02.04.01 Rows{Z}@ForceFilingCode:false","")</f>
        <v/>
      </c>
      <c r="B518" t="str">
        <f>IF(AND(LEFT('S.01.01.04'!$D$42,8)&lt;&gt;"Reported",'S.01.01.04'!$D$42&lt;&gt;""),Show!$B$4&amp; Show!$B$4&amp;"S.25.02.04.01 Rows{Z}@ForceFilingCode:false","")</f>
        <v/>
      </c>
    </row>
    <row r="519" spans="1:2">
      <c r="A519" t="str">
        <f>IF(AND(LEFT('S.01.01.04'!$D$42,8)&lt;&gt;"Reported",'S.01.01.04'!$D$42&lt;&gt;""),Show!$B$4 &amp; "S.25.02.04.02 Rows{Z}@ForceFilingCode:false","")</f>
        <v/>
      </c>
      <c r="B519" t="str">
        <f>IF(AND(LEFT('S.01.01.04'!$D$42,8)&lt;&gt;"Reported",'S.01.01.04'!$D$42&lt;&gt;""),Show!$B$4&amp; Show!$B$4&amp;"S.25.02.04.02 Rows{Z}@ForceFilingCode:false","")</f>
        <v/>
      </c>
    </row>
    <row r="520" spans="1:2">
      <c r="A520" t="str">
        <f>IF(AND(LEFT('S.01.01.04'!$D$43,8)&lt;&gt;"Reported",'S.01.01.04'!$D$43&lt;&gt;""),Show!$B$4 &amp; "S.25.03.04.01 Rows{Z}@ForceFilingCode:false","")</f>
        <v/>
      </c>
      <c r="B520" t="str">
        <f>IF(AND(LEFT('S.01.01.04'!$D$43,8)&lt;&gt;"Reported",'S.01.01.04'!$D$43&lt;&gt;""),Show!$B$4&amp; Show!$B$4&amp;"S.25.03.04.01 Rows{Z}@ForceFilingCode:false","")</f>
        <v/>
      </c>
    </row>
    <row r="521" spans="1:2">
      <c r="A521" t="str">
        <f>IF(AND(LEFT('S.01.01.04'!$D$43,8)&lt;&gt;"Reported",'S.01.01.04'!$D$43&lt;&gt;""),Show!$B$4 &amp; "S.25.03.04.02 Rows{Z}@ForceFilingCode:false","")</f>
        <v/>
      </c>
      <c r="B521" t="str">
        <f>IF(AND(LEFT('S.01.01.04'!$D$43,8)&lt;&gt;"Reported",'S.01.01.04'!$D$43&lt;&gt;""),Show!$B$4&amp; Show!$B$4&amp;"S.25.03.04.02 Rows{Z}@ForceFilingCode:false","")</f>
        <v/>
      </c>
    </row>
    <row r="522" spans="1:2">
      <c r="A522" t="str">
        <f>IF(AND(LEFT('S.01.01.04'!$D$44,8)&lt;&gt;"Reported",'S.01.01.04'!$D$44&lt;&gt;""),Show!$B$4 &amp; "S.26.01.04.01 Rows{Z}@ForceFilingCode:false","")</f>
        <v/>
      </c>
      <c r="B522" t="str">
        <f>IF(AND(LEFT('S.01.01.04'!$D$44,8)&lt;&gt;"Reported",'S.01.01.04'!$D$44&lt;&gt;""),Show!$B$4&amp; Show!$B$4&amp;"S.26.01.04.01 Rows{Z}@ForceFilingCode:false","")</f>
        <v/>
      </c>
    </row>
    <row r="523" spans="1:2">
      <c r="A523" t="str">
        <f>IF(AND(LEFT('S.01.01.04'!$D$44,8)&lt;&gt;"Reported",'S.01.01.04'!$D$44&lt;&gt;""),Show!$B$4 &amp; "S.26.01.04.02 Rows{Z}@ForceFilingCode:false","")</f>
        <v/>
      </c>
      <c r="B523" t="str">
        <f>IF(AND(LEFT('S.01.01.04'!$D$44,8)&lt;&gt;"Reported",'S.01.01.04'!$D$44&lt;&gt;""),Show!$B$4&amp; Show!$B$4&amp;"S.26.01.04.02 Rows{Z}@ForceFilingCode:false","")</f>
        <v/>
      </c>
    </row>
    <row r="524" spans="1:2">
      <c r="A524" t="str">
        <f>IF(AND(LEFT('S.01.01.04'!$D$44,8)&lt;&gt;"Reported",'S.01.01.04'!$D$44&lt;&gt;""),Show!$B$4 &amp; "S.26.01.04.03 Rows{Z}@ForceFilingCode:false","")</f>
        <v/>
      </c>
      <c r="B524" t="str">
        <f>IF(AND(LEFT('S.01.01.04'!$D$44,8)&lt;&gt;"Reported",'S.01.01.04'!$D$44&lt;&gt;""),Show!$B$4&amp; Show!$B$4&amp;"S.26.01.04.03 Rows{Z}@ForceFilingCode:false","")</f>
        <v/>
      </c>
    </row>
    <row r="525" spans="1:2">
      <c r="A525" t="str">
        <f>IF(AND(LEFT('S.01.01.04'!$D$44,8)&lt;&gt;"Reported",'S.01.01.04'!$D$44&lt;&gt;""),Show!$B$4 &amp; "S.26.01.04.04 Rows{Z}@ForceFilingCode:false","")</f>
        <v/>
      </c>
      <c r="B525" t="str">
        <f>IF(AND(LEFT('S.01.01.04'!$D$44,8)&lt;&gt;"Reported",'S.01.01.04'!$D$44&lt;&gt;""),Show!$B$4&amp; Show!$B$4&amp;"S.26.01.04.04 Rows{Z}@ForceFilingCode:false","")</f>
        <v/>
      </c>
    </row>
    <row r="526" spans="1:2">
      <c r="A526" t="str">
        <f>IF(AND(LEFT('S.01.01.04'!$D$45,8)&lt;&gt;"Reported",'S.01.01.04'!$D$45&lt;&gt;""),Show!$B$4 &amp; "S.26.02.04.01 Rows{Z}@ForceFilingCode:false","")</f>
        <v/>
      </c>
      <c r="B526" t="str">
        <f>IF(AND(LEFT('S.01.01.04'!$D$45,8)&lt;&gt;"Reported",'S.01.01.04'!$D$45&lt;&gt;""),Show!$B$4&amp; Show!$B$4&amp;"S.26.02.04.01 Rows{Z}@ForceFilingCode:false","")</f>
        <v/>
      </c>
    </row>
    <row r="527" spans="1:2">
      <c r="A527" t="str">
        <f>IF(AND(LEFT('S.01.01.04'!$D$45,8)&lt;&gt;"Reported",'S.01.01.04'!$D$45&lt;&gt;""),Show!$B$4 &amp; "S.26.02.04.02 Rows{Z}@ForceFilingCode:false","")</f>
        <v/>
      </c>
      <c r="B527" t="str">
        <f>IF(AND(LEFT('S.01.01.04'!$D$45,8)&lt;&gt;"Reported",'S.01.01.04'!$D$45&lt;&gt;""),Show!$B$4&amp; Show!$B$4&amp;"S.26.02.04.02 Rows{Z}@ForceFilingCode:false","")</f>
        <v/>
      </c>
    </row>
    <row r="528" spans="1:2">
      <c r="A528" t="str">
        <f>IF(AND(LEFT('S.01.01.04'!$D$45,8)&lt;&gt;"Reported",'S.01.01.04'!$D$45&lt;&gt;""),Show!$B$4 &amp; "S.26.02.04.03 Rows{Z}@ForceFilingCode:false","")</f>
        <v/>
      </c>
      <c r="B528" t="str">
        <f>IF(AND(LEFT('S.01.01.04'!$D$45,8)&lt;&gt;"Reported",'S.01.01.04'!$D$45&lt;&gt;""),Show!$B$4&amp; Show!$B$4&amp;"S.26.02.04.03 Rows{Z}@ForceFilingCode:false","")</f>
        <v/>
      </c>
    </row>
    <row r="529" spans="1:2">
      <c r="A529" t="str">
        <f>IF(AND(LEFT('S.01.01.04'!$D$46,8)&lt;&gt;"Reported",'S.01.01.04'!$D$46&lt;&gt;""),Show!$B$4 &amp; "S.26.03.04.01 Rows{Z}@ForceFilingCode:false","")</f>
        <v/>
      </c>
      <c r="B529" t="str">
        <f>IF(AND(LEFT('S.01.01.04'!$D$46,8)&lt;&gt;"Reported",'S.01.01.04'!$D$46&lt;&gt;""),Show!$B$4&amp; Show!$B$4&amp;"S.26.03.04.01 Rows{Z}@ForceFilingCode:false","")</f>
        <v/>
      </c>
    </row>
    <row r="530" spans="1:2">
      <c r="A530" t="str">
        <f>IF(AND(LEFT('S.01.01.04'!$D$46,8)&lt;&gt;"Reported",'S.01.01.04'!$D$46&lt;&gt;""),Show!$B$4 &amp; "S.26.03.04.02 Rows{Z}@ForceFilingCode:false","")</f>
        <v/>
      </c>
      <c r="B530" t="str">
        <f>IF(AND(LEFT('S.01.01.04'!$D$46,8)&lt;&gt;"Reported",'S.01.01.04'!$D$46&lt;&gt;""),Show!$B$4&amp; Show!$B$4&amp;"S.26.03.04.02 Rows{Z}@ForceFilingCode:false","")</f>
        <v/>
      </c>
    </row>
    <row r="531" spans="1:2">
      <c r="A531" t="str">
        <f>IF(AND(LEFT('S.01.01.04'!$D$46,8)&lt;&gt;"Reported",'S.01.01.04'!$D$46&lt;&gt;""),Show!$B$4 &amp; "S.26.03.04.03 Rows{Z}@ForceFilingCode:false","")</f>
        <v/>
      </c>
      <c r="B531" t="str">
        <f>IF(AND(LEFT('S.01.01.04'!$D$46,8)&lt;&gt;"Reported",'S.01.01.04'!$D$46&lt;&gt;""),Show!$B$4&amp; Show!$B$4&amp;"S.26.03.04.03 Rows{Z}@ForceFilingCode:false","")</f>
        <v/>
      </c>
    </row>
    <row r="532" spans="1:2">
      <c r="A532" t="str">
        <f>IF(AND(LEFT('S.01.01.04'!$D$46,8)&lt;&gt;"Reported",'S.01.01.04'!$D$46&lt;&gt;""),Show!$B$4 &amp; "S.26.03.04.04 Rows{Z}@ForceFilingCode:false","")</f>
        <v/>
      </c>
      <c r="B532" t="str">
        <f>IF(AND(LEFT('S.01.01.04'!$D$46,8)&lt;&gt;"Reported",'S.01.01.04'!$D$46&lt;&gt;""),Show!$B$4&amp; Show!$B$4&amp;"S.26.03.04.04 Rows{Z}@ForceFilingCode:false","")</f>
        <v/>
      </c>
    </row>
    <row r="533" spans="1:2">
      <c r="A533" t="str">
        <f>IF(AND(LEFT('S.01.01.04'!$D$47,8)&lt;&gt;"Reported",'S.01.01.04'!$D$47&lt;&gt;""),Show!$B$4 &amp; "S.26.04.04.01 Rows{Z}@ForceFilingCode:false","")</f>
        <v/>
      </c>
      <c r="B533" t="str">
        <f>IF(AND(LEFT('S.01.01.04'!$D$47,8)&lt;&gt;"Reported",'S.01.01.04'!$D$47&lt;&gt;""),Show!$B$4&amp; Show!$B$4&amp;"S.26.04.04.01 Rows{Z}@ForceFilingCode:false","")</f>
        <v/>
      </c>
    </row>
    <row r="534" spans="1:2">
      <c r="A534" t="str">
        <f>IF(AND(LEFT('S.01.01.04'!$D$47,8)&lt;&gt;"Reported",'S.01.01.04'!$D$47&lt;&gt;""),Show!$B$4 &amp; "S.26.04.04.02 Rows{Z}@ForceFilingCode:false","")</f>
        <v/>
      </c>
      <c r="B534" t="str">
        <f>IF(AND(LEFT('S.01.01.04'!$D$47,8)&lt;&gt;"Reported",'S.01.01.04'!$D$47&lt;&gt;""),Show!$B$4&amp; Show!$B$4&amp;"S.26.04.04.02 Rows{Z}@ForceFilingCode:false","")</f>
        <v/>
      </c>
    </row>
    <row r="535" spans="1:2">
      <c r="A535" t="str">
        <f>IF(AND(LEFT('S.01.01.04'!$D$47,8)&lt;&gt;"Reported",'S.01.01.04'!$D$47&lt;&gt;""),Show!$B$4 &amp; "S.26.04.04.03 Rows{Z}@ForceFilingCode:false","")</f>
        <v/>
      </c>
      <c r="B535" t="str">
        <f>IF(AND(LEFT('S.01.01.04'!$D$47,8)&lt;&gt;"Reported",'S.01.01.04'!$D$47&lt;&gt;""),Show!$B$4&amp; Show!$B$4&amp;"S.26.04.04.03 Rows{Z}@ForceFilingCode:false","")</f>
        <v/>
      </c>
    </row>
    <row r="536" spans="1:2">
      <c r="A536" t="str">
        <f>IF(AND(LEFT('S.01.01.04'!$D$47,8)&lt;&gt;"Reported",'S.01.01.04'!$D$47&lt;&gt;""),Show!$B$4 &amp; "S.26.04.04.04 Rows{Z}@ForceFilingCode:false","")</f>
        <v/>
      </c>
      <c r="B536" t="str">
        <f>IF(AND(LEFT('S.01.01.04'!$D$47,8)&lt;&gt;"Reported",'S.01.01.04'!$D$47&lt;&gt;""),Show!$B$4&amp; Show!$B$4&amp;"S.26.04.04.04 Rows{Z}@ForceFilingCode:false","")</f>
        <v/>
      </c>
    </row>
    <row r="537" spans="1:2">
      <c r="A537" t="str">
        <f>IF(AND(LEFT('S.01.01.04'!$D$47,8)&lt;&gt;"Reported",'S.01.01.04'!$D$47&lt;&gt;""),Show!$B$4 &amp; "S.26.04.04.05 Rows{Z}@ForceFilingCode:false","")</f>
        <v/>
      </c>
      <c r="B537" t="str">
        <f>IF(AND(LEFT('S.01.01.04'!$D$47,8)&lt;&gt;"Reported",'S.01.01.04'!$D$47&lt;&gt;""),Show!$B$4&amp; Show!$B$4&amp;"S.26.04.04.05 Rows{Z}@ForceFilingCode:false","")</f>
        <v/>
      </c>
    </row>
    <row r="538" spans="1:2">
      <c r="A538" t="str">
        <f>IF(AND(LEFT('S.01.01.04'!$D$47,8)&lt;&gt;"Reported",'S.01.01.04'!$D$47&lt;&gt;""),Show!$B$4 &amp; "S.26.04.04.06 Rows{Z}@ForceFilingCode:false","")</f>
        <v/>
      </c>
      <c r="B538" t="str">
        <f>IF(AND(LEFT('S.01.01.04'!$D$47,8)&lt;&gt;"Reported",'S.01.01.04'!$D$47&lt;&gt;""),Show!$B$4&amp; Show!$B$4&amp;"S.26.04.04.06 Rows{Z}@ForceFilingCode:false","")</f>
        <v/>
      </c>
    </row>
    <row r="539" spans="1:2">
      <c r="A539" t="str">
        <f>IF(AND(LEFT('S.01.01.04'!$D$47,8)&lt;&gt;"Reported",'S.01.01.04'!$D$47&lt;&gt;""),Show!$B$4 &amp; "S.26.04.04.07 Rows{Z}@ForceFilingCode:false","")</f>
        <v/>
      </c>
      <c r="B539" t="str">
        <f>IF(AND(LEFT('S.01.01.04'!$D$47,8)&lt;&gt;"Reported",'S.01.01.04'!$D$47&lt;&gt;""),Show!$B$4&amp; Show!$B$4&amp;"S.26.04.04.07 Rows{Z}@ForceFilingCode:false","")</f>
        <v/>
      </c>
    </row>
    <row r="540" spans="1:2">
      <c r="A540" t="str">
        <f>IF(AND(LEFT('S.01.01.04'!$D$47,8)&lt;&gt;"Reported",'S.01.01.04'!$D$47&lt;&gt;""),Show!$B$4 &amp; "S.26.04.04.08 Rows{Z}@ForceFilingCode:false","")</f>
        <v/>
      </c>
      <c r="B540" t="str">
        <f>IF(AND(LEFT('S.01.01.04'!$D$47,8)&lt;&gt;"Reported",'S.01.01.04'!$D$47&lt;&gt;""),Show!$B$4&amp; Show!$B$4&amp;"S.26.04.04.08 Rows{Z}@ForceFilingCode:false","")</f>
        <v/>
      </c>
    </row>
    <row r="541" spans="1:2">
      <c r="A541" t="str">
        <f>IF(AND(LEFT('S.01.01.04'!$D$47,8)&lt;&gt;"Reported",'S.01.01.04'!$D$47&lt;&gt;""),Show!$B$4 &amp; "S.26.04.04.09 Rows{Z}@ForceFilingCode:false","")</f>
        <v/>
      </c>
      <c r="B541" t="str">
        <f>IF(AND(LEFT('S.01.01.04'!$D$47,8)&lt;&gt;"Reported",'S.01.01.04'!$D$47&lt;&gt;""),Show!$B$4&amp; Show!$B$4&amp;"S.26.04.04.09 Rows{Z}@ForceFilingCode:false","")</f>
        <v/>
      </c>
    </row>
    <row r="542" spans="1:2">
      <c r="A542" t="str">
        <f>IF(AND(LEFT('S.01.01.04'!$D$48,8)&lt;&gt;"Reported",'S.01.01.04'!$D$48&lt;&gt;""),Show!$B$4 &amp; "S.26.05.04.01 Rows{Z}@ForceFilingCode:false","")</f>
        <v/>
      </c>
      <c r="B542" t="str">
        <f>IF(AND(LEFT('S.01.01.04'!$D$48,8)&lt;&gt;"Reported",'S.01.01.04'!$D$48&lt;&gt;""),Show!$B$4&amp; Show!$B$4&amp;"S.26.05.04.01 Rows{Z}@ForceFilingCode:false","")</f>
        <v/>
      </c>
    </row>
    <row r="543" spans="1:2">
      <c r="A543" t="str">
        <f>IF(AND(LEFT('S.01.01.04'!$D$48,8)&lt;&gt;"Reported",'S.01.01.04'!$D$48&lt;&gt;""),Show!$B$4 &amp; "S.26.05.04.02 Rows{Z}@ForceFilingCode:false","")</f>
        <v/>
      </c>
      <c r="B543" t="str">
        <f>IF(AND(LEFT('S.01.01.04'!$D$48,8)&lt;&gt;"Reported",'S.01.01.04'!$D$48&lt;&gt;""),Show!$B$4&amp; Show!$B$4&amp;"S.26.05.04.02 Rows{Z}@ForceFilingCode:false","")</f>
        <v/>
      </c>
    </row>
    <row r="544" spans="1:2">
      <c r="A544" t="str">
        <f>IF(AND(LEFT('S.01.01.04'!$D$48,8)&lt;&gt;"Reported",'S.01.01.04'!$D$48&lt;&gt;""),Show!$B$4 &amp; "S.26.05.04.03 Rows{Z}@ForceFilingCode:false","")</f>
        <v/>
      </c>
      <c r="B544" t="str">
        <f>IF(AND(LEFT('S.01.01.04'!$D$48,8)&lt;&gt;"Reported",'S.01.01.04'!$D$48&lt;&gt;""),Show!$B$4&amp; Show!$B$4&amp;"S.26.05.04.03 Rows{Z}@ForceFilingCode:false","")</f>
        <v/>
      </c>
    </row>
    <row r="545" spans="1:2">
      <c r="A545" t="str">
        <f>IF(AND(LEFT('S.01.01.04'!$D$48,8)&lt;&gt;"Reported",'S.01.01.04'!$D$48&lt;&gt;""),Show!$B$4 &amp; "S.26.05.04.04 Rows{Z}@ForceFilingCode:false","")</f>
        <v/>
      </c>
      <c r="B545" t="str">
        <f>IF(AND(LEFT('S.01.01.04'!$D$48,8)&lt;&gt;"Reported",'S.01.01.04'!$D$48&lt;&gt;""),Show!$B$4&amp; Show!$B$4&amp;"S.26.05.04.04 Rows{Z}@ForceFilingCode:false","")</f>
        <v/>
      </c>
    </row>
    <row r="546" spans="1:2">
      <c r="A546" t="str">
        <f>IF(AND(LEFT('S.01.01.04'!$D$48,8)&lt;&gt;"Reported",'S.01.01.04'!$D$48&lt;&gt;""),Show!$B$4 &amp; "S.26.05.04.05 Rows{Z}@ForceFilingCode:false","")</f>
        <v/>
      </c>
      <c r="B546" t="str">
        <f>IF(AND(LEFT('S.01.01.04'!$D$48,8)&lt;&gt;"Reported",'S.01.01.04'!$D$48&lt;&gt;""),Show!$B$4&amp; Show!$B$4&amp;"S.26.05.04.05 Rows{Z}@ForceFilingCode:false","")</f>
        <v/>
      </c>
    </row>
    <row r="547" spans="1:2">
      <c r="A547" t="str">
        <f>IF(AND(LEFT('S.01.01.04'!$D$49,8)&lt;&gt;"Reported",'S.01.01.04'!$D$49&lt;&gt;""),Show!$B$4 &amp; "S.26.06.04.01 Rows{Z}@ForceFilingCode:false","")</f>
        <v/>
      </c>
      <c r="B547" t="str">
        <f>IF(AND(LEFT('S.01.01.04'!$D$49,8)&lt;&gt;"Reported",'S.01.01.04'!$D$49&lt;&gt;""),Show!$B$4&amp; Show!$B$4&amp;"S.26.06.04.01 Rows{Z}@ForceFilingCode:false","")</f>
        <v/>
      </c>
    </row>
    <row r="548" spans="1:2">
      <c r="A548" t="str">
        <f>IF(AND(LEFT('S.01.01.04'!$D$50,8)&lt;&gt;"Reported",'S.01.01.04'!$D$50&lt;&gt;""),Show!$B$4 &amp; "S.26.07.04.01 Rows{Z}@ForceFilingCode:false","")</f>
        <v/>
      </c>
      <c r="B548" t="str">
        <f>IF(AND(LEFT('S.01.01.04'!$D$50,8)&lt;&gt;"Reported",'S.01.01.04'!$D$50&lt;&gt;""),Show!$B$4&amp; Show!$B$4&amp;"S.26.07.04.01 Rows{Z}@ForceFilingCode:false","")</f>
        <v/>
      </c>
    </row>
    <row r="549" spans="1:2">
      <c r="A549" t="str">
        <f>IF(AND(LEFT('S.01.01.04'!$D$50,8)&lt;&gt;"Reported",'S.01.01.04'!$D$50&lt;&gt;""),Show!$B$4 &amp; "S.26.07.04.02 Rows{Z}@ForceFilingCode:false","")</f>
        <v/>
      </c>
      <c r="B549" t="str">
        <f>IF(AND(LEFT('S.01.01.04'!$D$50,8)&lt;&gt;"Reported",'S.01.01.04'!$D$50&lt;&gt;""),Show!$B$4&amp; Show!$B$4&amp;"S.26.07.04.02 Rows{Z}@ForceFilingCode:false","")</f>
        <v/>
      </c>
    </row>
    <row r="550" spans="1:2">
      <c r="A550" t="str">
        <f>IF(AND(LEFT('S.01.01.04'!$D$50,8)&lt;&gt;"Reported",'S.01.01.04'!$D$50&lt;&gt;""),Show!$B$4 &amp; "S.26.07.04.03 Rows{Z}@ForceFilingCode:false","")</f>
        <v/>
      </c>
      <c r="B550" t="str">
        <f>IF(AND(LEFT('S.01.01.04'!$D$50,8)&lt;&gt;"Reported",'S.01.01.04'!$D$50&lt;&gt;""),Show!$B$4&amp; Show!$B$4&amp;"S.26.07.04.03 Rows{Z}@ForceFilingCode:false","")</f>
        <v/>
      </c>
    </row>
    <row r="551" spans="1:2">
      <c r="A551" t="str">
        <f>IF(AND(LEFT('S.01.01.04'!$D$50,8)&lt;&gt;"Reported",'S.01.01.04'!$D$50&lt;&gt;""),Show!$B$4 &amp; "S.26.07.04.04 Rows{Z}@ForceFilingCode:false","")</f>
        <v/>
      </c>
      <c r="B551" t="str">
        <f>IF(AND(LEFT('S.01.01.04'!$D$50,8)&lt;&gt;"Reported",'S.01.01.04'!$D$50&lt;&gt;""),Show!$B$4&amp; Show!$B$4&amp;"S.26.07.04.04 Rows{Z}@ForceFilingCode:false","")</f>
        <v/>
      </c>
    </row>
    <row r="552" spans="1:2">
      <c r="A552" t="str">
        <f>IF(AND(LEFT('S.01.01.04'!$D$50,8)&lt;&gt;"Reported",'S.01.01.04'!$D$50&lt;&gt;""),Show!$B$4 &amp; "S.26.07.04.05 Rows{Z}@ForceFilingCode:false","")</f>
        <v/>
      </c>
      <c r="B552" t="str">
        <f>IF(AND(LEFT('S.01.01.04'!$D$50,8)&lt;&gt;"Reported",'S.01.01.04'!$D$50&lt;&gt;""),Show!$B$4&amp; Show!$B$4&amp;"S.26.07.04.05 Rows{Z}@ForceFilingCode:false","")</f>
        <v/>
      </c>
    </row>
    <row r="553" spans="1:2">
      <c r="A553" t="str">
        <f>IF(AND(LEFT('S.01.01.04'!$D$50,8)&lt;&gt;"Reported",'S.01.01.04'!$D$50&lt;&gt;""),Show!$B$4 &amp; "S.26.07.04.06 Rows{Z}@ForceFilingCode:false","")</f>
        <v/>
      </c>
      <c r="B553" t="str">
        <f>IF(AND(LEFT('S.01.01.04'!$D$50,8)&lt;&gt;"Reported",'S.01.01.04'!$D$50&lt;&gt;""),Show!$B$4&amp; Show!$B$4&amp;"S.26.07.04.06 Rows{Z}@ForceFilingCode:false","")</f>
        <v/>
      </c>
    </row>
    <row r="554" spans="1:2">
      <c r="A554" t="str">
        <f>IF(AND(LEFT('S.01.01.04'!$D$51,8)&lt;&gt;"Reported",'S.01.01.04'!$D$51&lt;&gt;""),Show!$B$4 &amp; "S.27.01.04.01 Rows{Z}@ForceFilingCode:false","")</f>
        <v/>
      </c>
      <c r="B554" t="str">
        <f>IF(AND(LEFT('S.01.01.04'!$D$51,8)&lt;&gt;"Reported",'S.01.01.04'!$D$51&lt;&gt;""),Show!$B$4&amp; Show!$B$4&amp;"S.27.01.04.01 Rows{Z}@ForceFilingCode:false","")</f>
        <v/>
      </c>
    </row>
    <row r="555" spans="1:2">
      <c r="A555" t="str">
        <f>IF(AND(LEFT('S.01.01.04'!$D$51,8)&lt;&gt;"Reported",'S.01.01.04'!$D$51&lt;&gt;""),Show!$B$4 &amp; "S.27.01.04.02 Rows{Z}@ForceFilingCode:false","")</f>
        <v/>
      </c>
      <c r="B555" t="str">
        <f>IF(AND(LEFT('S.01.01.04'!$D$51,8)&lt;&gt;"Reported",'S.01.01.04'!$D$51&lt;&gt;""),Show!$B$4&amp; Show!$B$4&amp;"S.27.01.04.02 Rows{Z}@ForceFilingCode:false","")</f>
        <v/>
      </c>
    </row>
    <row r="556" spans="1:2">
      <c r="A556" t="str">
        <f>IF(AND(LEFT('S.01.01.04'!$D$51,8)&lt;&gt;"Reported",'S.01.01.04'!$D$51&lt;&gt;""),Show!$B$4 &amp; "S.27.01.04.03 Rows{Z}@ForceFilingCode:false","")</f>
        <v/>
      </c>
      <c r="B556" t="str">
        <f>IF(AND(LEFT('S.01.01.04'!$D$51,8)&lt;&gt;"Reported",'S.01.01.04'!$D$51&lt;&gt;""),Show!$B$4&amp; Show!$B$4&amp;"S.27.01.04.03 Rows{Z}@ForceFilingCode:false","")</f>
        <v/>
      </c>
    </row>
    <row r="557" spans="1:2">
      <c r="A557" t="str">
        <f>IF(AND(LEFT('S.01.01.04'!$D$51,8)&lt;&gt;"Reported",'S.01.01.04'!$D$51&lt;&gt;""),Show!$B$4 &amp; "S.27.01.04.04 Rows{Z}@ForceFilingCode:false","")</f>
        <v/>
      </c>
      <c r="B557" t="str">
        <f>IF(AND(LEFT('S.01.01.04'!$D$51,8)&lt;&gt;"Reported",'S.01.01.04'!$D$51&lt;&gt;""),Show!$B$4&amp; Show!$B$4&amp;"S.27.01.04.04 Rows{Z}@ForceFilingCode:false","")</f>
        <v/>
      </c>
    </row>
    <row r="558" spans="1:2">
      <c r="A558" t="str">
        <f>IF(AND(LEFT('S.01.01.04'!$D$51,8)&lt;&gt;"Reported",'S.01.01.04'!$D$51&lt;&gt;""),Show!$B$4 &amp; "S.27.01.04.05 Rows{Z}@ForceFilingCode:false","")</f>
        <v/>
      </c>
      <c r="B558" t="str">
        <f>IF(AND(LEFT('S.01.01.04'!$D$51,8)&lt;&gt;"Reported",'S.01.01.04'!$D$51&lt;&gt;""),Show!$B$4&amp; Show!$B$4&amp;"S.27.01.04.05 Rows{Z}@ForceFilingCode:false","")</f>
        <v/>
      </c>
    </row>
    <row r="559" spans="1:2">
      <c r="A559" t="str">
        <f>IF(AND(LEFT('S.01.01.04'!$D$51,8)&lt;&gt;"Reported",'S.01.01.04'!$D$51&lt;&gt;""),Show!$B$4 &amp; "S.27.01.04.06 Rows{Z}@ForceFilingCode:false","")</f>
        <v/>
      </c>
      <c r="B559" t="str">
        <f>IF(AND(LEFT('S.01.01.04'!$D$51,8)&lt;&gt;"Reported",'S.01.01.04'!$D$51&lt;&gt;""),Show!$B$4&amp; Show!$B$4&amp;"S.27.01.04.06 Rows{Z}@ForceFilingCode:false","")</f>
        <v/>
      </c>
    </row>
    <row r="560" spans="1:2">
      <c r="A560" t="str">
        <f>IF(AND(LEFT('S.01.01.04'!$D$51,8)&lt;&gt;"Reported",'S.01.01.04'!$D$51&lt;&gt;""),Show!$B$4 &amp; "S.27.01.04.07 Rows{Z}@ForceFilingCode:false","")</f>
        <v/>
      </c>
      <c r="B560" t="str">
        <f>IF(AND(LEFT('S.01.01.04'!$D$51,8)&lt;&gt;"Reported",'S.01.01.04'!$D$51&lt;&gt;""),Show!$B$4&amp; Show!$B$4&amp;"S.27.01.04.07 Rows{Z}@ForceFilingCode:false","")</f>
        <v/>
      </c>
    </row>
    <row r="561" spans="1:2">
      <c r="A561" t="str">
        <f>IF(AND(LEFT('S.01.01.04'!$D$51,8)&lt;&gt;"Reported",'S.01.01.04'!$D$51&lt;&gt;""),Show!$B$4 &amp; "S.27.01.04.08 Rows{Z}@ForceFilingCode:false","")</f>
        <v/>
      </c>
      <c r="B561" t="str">
        <f>IF(AND(LEFT('S.01.01.04'!$D$51,8)&lt;&gt;"Reported",'S.01.01.04'!$D$51&lt;&gt;""),Show!$B$4&amp; Show!$B$4&amp;"S.27.01.04.08 Rows{Z}@ForceFilingCode:false","")</f>
        <v/>
      </c>
    </row>
    <row r="562" spans="1:2">
      <c r="A562" t="str">
        <f>IF(AND(LEFT('S.01.01.04'!$D$51,8)&lt;&gt;"Reported",'S.01.01.04'!$D$51&lt;&gt;""),Show!$B$4 &amp; "S.27.01.04.09 Rows{Z}@ForceFilingCode:false","")</f>
        <v/>
      </c>
      <c r="B562" t="str">
        <f>IF(AND(LEFT('S.01.01.04'!$D$51,8)&lt;&gt;"Reported",'S.01.01.04'!$D$51&lt;&gt;""),Show!$B$4&amp; Show!$B$4&amp;"S.27.01.04.09 Rows{Z}@ForceFilingCode:false","")</f>
        <v/>
      </c>
    </row>
    <row r="563" spans="1:2">
      <c r="A563" t="str">
        <f>IF(AND(LEFT('S.01.01.04'!$D$51,8)&lt;&gt;"Reported",'S.01.01.04'!$D$51&lt;&gt;""),Show!$B$4 &amp; "S.27.01.04.10 Rows{Z}@ForceFilingCode:false","")</f>
        <v/>
      </c>
      <c r="B563" t="str">
        <f>IF(AND(LEFT('S.01.01.04'!$D$51,8)&lt;&gt;"Reported",'S.01.01.04'!$D$51&lt;&gt;""),Show!$B$4&amp; Show!$B$4&amp;"S.27.01.04.10 Rows{Z}@ForceFilingCode:false","")</f>
        <v/>
      </c>
    </row>
    <row r="564" spans="1:2">
      <c r="A564" t="str">
        <f>IF(AND(LEFT('S.01.01.04'!$D$51,8)&lt;&gt;"Reported",'S.01.01.04'!$D$51&lt;&gt;""),Show!$B$4 &amp; "S.27.01.04.11 Rows{Z}@ForceFilingCode:false","")</f>
        <v/>
      </c>
      <c r="B564" t="str">
        <f>IF(AND(LEFT('S.01.01.04'!$D$51,8)&lt;&gt;"Reported",'S.01.01.04'!$D$51&lt;&gt;""),Show!$B$4&amp; Show!$B$4&amp;"S.27.01.04.11 Rows{Z}@ForceFilingCode:false","")</f>
        <v/>
      </c>
    </row>
    <row r="565" spans="1:2">
      <c r="A565" t="str">
        <f>IF(AND(LEFT('S.01.01.04'!$D$51,8)&lt;&gt;"Reported",'S.01.01.04'!$D$51&lt;&gt;""),Show!$B$4 &amp; "S.27.01.04.12 Rows{Z}@ForceFilingCode:false","")</f>
        <v/>
      </c>
      <c r="B565" t="str">
        <f>IF(AND(LEFT('S.01.01.04'!$D$51,8)&lt;&gt;"Reported",'S.01.01.04'!$D$51&lt;&gt;""),Show!$B$4&amp; Show!$B$4&amp;"S.27.01.04.12 Rows{Z}@ForceFilingCode:false","")</f>
        <v/>
      </c>
    </row>
    <row r="566" spans="1:2">
      <c r="A566" t="str">
        <f>IF(AND(LEFT('S.01.01.04'!$D$51,8)&lt;&gt;"Reported",'S.01.01.04'!$D$51&lt;&gt;""),Show!$B$4 &amp; "S.27.01.04.13 Rows{Z}@ForceFilingCode:false","")</f>
        <v/>
      </c>
      <c r="B566" t="str">
        <f>IF(AND(LEFT('S.01.01.04'!$D$51,8)&lt;&gt;"Reported",'S.01.01.04'!$D$51&lt;&gt;""),Show!$B$4&amp; Show!$B$4&amp;"S.27.01.04.13 Rows{Z}@ForceFilingCode:false","")</f>
        <v/>
      </c>
    </row>
    <row r="567" spans="1:2">
      <c r="A567" t="str">
        <f>IF(AND(LEFT('S.01.01.04'!$D$51,8)&lt;&gt;"Reported",'S.01.01.04'!$D$51&lt;&gt;""),Show!$B$4 &amp; "S.27.01.04.14 Rows{Z}@ForceFilingCode:false","")</f>
        <v/>
      </c>
      <c r="B567" t="str">
        <f>IF(AND(LEFT('S.01.01.04'!$D$51,8)&lt;&gt;"Reported",'S.01.01.04'!$D$51&lt;&gt;""),Show!$B$4&amp; Show!$B$4&amp;"S.27.01.04.14 Rows{Z}@ForceFilingCode:false","")</f>
        <v/>
      </c>
    </row>
    <row r="568" spans="1:2">
      <c r="A568" t="str">
        <f>IF(AND(LEFT('S.01.01.04'!$D$51,8)&lt;&gt;"Reported",'S.01.01.04'!$D$51&lt;&gt;""),Show!$B$4 &amp; "S.27.01.04.15 Rows{Z}@ForceFilingCode:false","")</f>
        <v/>
      </c>
      <c r="B568" t="str">
        <f>IF(AND(LEFT('S.01.01.04'!$D$51,8)&lt;&gt;"Reported",'S.01.01.04'!$D$51&lt;&gt;""),Show!$B$4&amp; Show!$B$4&amp;"S.27.01.04.15 Rows{Z}@ForceFilingCode:false","")</f>
        <v/>
      </c>
    </row>
    <row r="569" spans="1:2">
      <c r="A569" t="str">
        <f>IF(AND(LEFT('S.01.01.04'!$D$51,8)&lt;&gt;"Reported",'S.01.01.04'!$D$51&lt;&gt;""),Show!$B$4 &amp; "S.27.01.04.16 Rows{Z}@ForceFilingCode:false","")</f>
        <v/>
      </c>
      <c r="B569" t="str">
        <f>IF(AND(LEFT('S.01.01.04'!$D$51,8)&lt;&gt;"Reported",'S.01.01.04'!$D$51&lt;&gt;""),Show!$B$4&amp; Show!$B$4&amp;"S.27.01.04.16 Rows{Z}@ForceFilingCode:false","")</f>
        <v/>
      </c>
    </row>
    <row r="570" spans="1:2">
      <c r="A570" t="str">
        <f>IF(AND(LEFT('S.01.01.04'!$D$51,8)&lt;&gt;"Reported",'S.01.01.04'!$D$51&lt;&gt;""),Show!$B$4 &amp; "S.27.01.04.17 Rows{Z}@ForceFilingCode:false","")</f>
        <v/>
      </c>
      <c r="B570" t="str">
        <f>IF(AND(LEFT('S.01.01.04'!$D$51,8)&lt;&gt;"Reported",'S.01.01.04'!$D$51&lt;&gt;""),Show!$B$4&amp; Show!$B$4&amp;"S.27.01.04.17 Rows{Z}@ForceFilingCode:false","")</f>
        <v/>
      </c>
    </row>
    <row r="571" spans="1:2">
      <c r="A571" t="str">
        <f>IF(AND(LEFT('S.01.01.04'!$D$51,8)&lt;&gt;"Reported",'S.01.01.04'!$D$51&lt;&gt;""),Show!$B$4 &amp; "S.27.01.04.18 Rows{Z}@ForceFilingCode:false","")</f>
        <v/>
      </c>
      <c r="B571" t="str">
        <f>IF(AND(LEFT('S.01.01.04'!$D$51,8)&lt;&gt;"Reported",'S.01.01.04'!$D$51&lt;&gt;""),Show!$B$4&amp; Show!$B$4&amp;"S.27.01.04.18 Rows{Z}@ForceFilingCode:false","")</f>
        <v/>
      </c>
    </row>
    <row r="572" spans="1:2">
      <c r="A572" t="str">
        <f>IF(AND(LEFT('S.01.01.04'!$D$51,8)&lt;&gt;"Reported",'S.01.01.04'!$D$51&lt;&gt;""),Show!$B$4 &amp; "S.27.01.04.19 Rows{Z}@ForceFilingCode:false","")</f>
        <v/>
      </c>
      <c r="B572" t="str">
        <f>IF(AND(LEFT('S.01.01.04'!$D$51,8)&lt;&gt;"Reported",'S.01.01.04'!$D$51&lt;&gt;""),Show!$B$4&amp; Show!$B$4&amp;"S.27.01.04.19 Rows{Z}@ForceFilingCode:false","")</f>
        <v/>
      </c>
    </row>
    <row r="573" spans="1:2">
      <c r="A573" t="str">
        <f>IF(AND(LEFT('S.01.01.04'!$D$51,8)&lt;&gt;"Reported",'S.01.01.04'!$D$51&lt;&gt;""),Show!$B$4 &amp; "S.27.01.04.20 Rows{Z}@ForceFilingCode:false","")</f>
        <v/>
      </c>
      <c r="B573" t="str">
        <f>IF(AND(LEFT('S.01.01.04'!$D$51,8)&lt;&gt;"Reported",'S.01.01.04'!$D$51&lt;&gt;""),Show!$B$4&amp; Show!$B$4&amp;"S.27.01.04.20 Rows{Z}@ForceFilingCode:false","")</f>
        <v/>
      </c>
    </row>
    <row r="574" spans="1:2">
      <c r="A574" t="str">
        <f>IF(AND(LEFT('S.01.01.04'!$D$51,8)&lt;&gt;"Reported",'S.01.01.04'!$D$51&lt;&gt;""),Show!$B$4 &amp; "S.27.01.04.21 Rows{Z}@ForceFilingCode:false","")</f>
        <v/>
      </c>
      <c r="B574" t="str">
        <f>IF(AND(LEFT('S.01.01.04'!$D$51,8)&lt;&gt;"Reported",'S.01.01.04'!$D$51&lt;&gt;""),Show!$B$4&amp; Show!$B$4&amp;"S.27.01.04.21 Rows{Z}@ForceFilingCode:false","")</f>
        <v/>
      </c>
    </row>
    <row r="575" spans="1:2">
      <c r="A575" t="str">
        <f>IF(AND(LEFT('S.01.01.04'!$D$51,8)&lt;&gt;"Reported",'S.01.01.04'!$D$51&lt;&gt;""),Show!$B$4 &amp; "S.27.01.04.22 Rows{Z}@ForceFilingCode:false","")</f>
        <v/>
      </c>
      <c r="B575" t="str">
        <f>IF(AND(LEFT('S.01.01.04'!$D$51,8)&lt;&gt;"Reported",'S.01.01.04'!$D$51&lt;&gt;""),Show!$B$4&amp; Show!$B$4&amp;"S.27.01.04.22 Rows{Z}@ForceFilingCode:false","")</f>
        <v/>
      </c>
    </row>
    <row r="576" spans="1:2">
      <c r="A576" t="str">
        <f>IF(AND(LEFT('S.01.01.04'!$D$51,8)&lt;&gt;"Reported",'S.01.01.04'!$D$51&lt;&gt;""),Show!$B$4 &amp; "S.27.01.04.23 Rows{Z}@ForceFilingCode:false","")</f>
        <v/>
      </c>
      <c r="B576" t="str">
        <f>IF(AND(LEFT('S.01.01.04'!$D$51,8)&lt;&gt;"Reported",'S.01.01.04'!$D$51&lt;&gt;""),Show!$B$4&amp; Show!$B$4&amp;"S.27.01.04.23 Rows{Z}@ForceFilingCode:false","")</f>
        <v/>
      </c>
    </row>
    <row r="577" spans="1:2">
      <c r="A577" t="str">
        <f>IF(AND(LEFT('S.01.01.04'!$D$51,8)&lt;&gt;"Reported",'S.01.01.04'!$D$51&lt;&gt;""),Show!$B$4 &amp; "S.27.01.04.24 Rows{Z}@ForceFilingCode:false","")</f>
        <v/>
      </c>
      <c r="B577" t="str">
        <f>IF(AND(LEFT('S.01.01.04'!$D$51,8)&lt;&gt;"Reported",'S.01.01.04'!$D$51&lt;&gt;""),Show!$B$4&amp; Show!$B$4&amp;"S.27.01.04.24 Rows{Z}@ForceFilingCode:false","")</f>
        <v/>
      </c>
    </row>
    <row r="578" spans="1:2">
      <c r="A578" t="str">
        <f>IF(AND(LEFT('S.01.01.04'!$D$51,8)&lt;&gt;"Reported",'S.01.01.04'!$D$51&lt;&gt;""),Show!$B$4 &amp; "S.27.01.04.25 Rows{Z}@ForceFilingCode:false","")</f>
        <v/>
      </c>
      <c r="B578" t="str">
        <f>IF(AND(LEFT('S.01.01.04'!$D$51,8)&lt;&gt;"Reported",'S.01.01.04'!$D$51&lt;&gt;""),Show!$B$4&amp; Show!$B$4&amp;"S.27.01.04.25 Rows{Z}@ForceFilingCode:false","")</f>
        <v/>
      </c>
    </row>
    <row r="579" spans="1:2">
      <c r="A579" t="str">
        <f>IF(AND(LEFT('S.01.01.04'!$D$51,8)&lt;&gt;"Reported",'S.01.01.04'!$D$51&lt;&gt;""),Show!$B$4 &amp; "S.27.01.04.26 Rows{Z}@ForceFilingCode:false","")</f>
        <v/>
      </c>
      <c r="B579" t="str">
        <f>IF(AND(LEFT('S.01.01.04'!$D$51,8)&lt;&gt;"Reported",'S.01.01.04'!$D$51&lt;&gt;""),Show!$B$4&amp; Show!$B$4&amp;"S.27.01.04.26 Rows{Z}@ForceFilingCode:false","")</f>
        <v/>
      </c>
    </row>
    <row r="580" spans="1:2">
      <c r="A580" t="str">
        <f>IF(AND(LEFT('S.01.01.04'!$D$51,8)&lt;&gt;"Reported",'S.01.01.04'!$D$51&lt;&gt;""),Show!$B$4 &amp; "S.27.01.04.27 Rows{Z}@ForceFilingCode:false","")</f>
        <v/>
      </c>
      <c r="B580" t="str">
        <f>IF(AND(LEFT('S.01.01.04'!$D$51,8)&lt;&gt;"Reported",'S.01.01.04'!$D$51&lt;&gt;""),Show!$B$4&amp; Show!$B$4&amp;"S.27.01.04.27 Rows{Z}@ForceFilingCode:false","")</f>
        <v/>
      </c>
    </row>
    <row r="581" spans="1:2">
      <c r="A581" t="str">
        <f>IF(AND(LEFT('S.01.01.04'!$D$51,8)&lt;&gt;"Reported",'S.01.01.04'!$D$51&lt;&gt;""),Show!$B$4 &amp; "S.27.01.04.28 Rows{Z}@ForceFilingCode:false","")</f>
        <v/>
      </c>
      <c r="B581" t="str">
        <f>IF(AND(LEFT('S.01.01.04'!$D$51,8)&lt;&gt;"Reported",'S.01.01.04'!$D$51&lt;&gt;""),Show!$B$4&amp; Show!$B$4&amp;"S.27.01.04.28 Rows{Z}@ForceFilingCode:false","")</f>
        <v/>
      </c>
    </row>
    <row r="582" spans="1:2">
      <c r="A582" t="str">
        <f>IF(AND(LEFT('S.01.01.04'!$D$52,8)&lt;&gt;"Reported",'S.01.01.04'!$D$52&lt;&gt;""),Show!$B$4 &amp; "S.31.01.04.01 Rows{Z}@ForceFilingCode:false","")</f>
        <v/>
      </c>
      <c r="B582" t="str">
        <f>IF(AND(LEFT('S.01.01.04'!$D$52,8)&lt;&gt;"Reported",'S.01.01.04'!$D$52&lt;&gt;""),Show!$B$4&amp; Show!$B$4&amp;"S.31.01.04.01 Rows{Z}@ForceFilingCode:false","")</f>
        <v/>
      </c>
    </row>
    <row r="583" spans="1:2">
      <c r="A583" t="str">
        <f>IF(AND(LEFT('S.01.01.04'!$D$52,8)&lt;&gt;"Reported",'S.01.01.04'!$D$52&lt;&gt;""),Show!$B$4 &amp; "S.31.01.04.02 Rows{Z}@ForceFilingCode:false","")</f>
        <v/>
      </c>
      <c r="B583" t="str">
        <f>IF(AND(LEFT('S.01.01.04'!$D$52,8)&lt;&gt;"Reported",'S.01.01.04'!$D$52&lt;&gt;""),Show!$B$4&amp; Show!$B$4&amp;"S.31.01.04.02 Rows{Z}@ForceFilingCode:false","")</f>
        <v/>
      </c>
    </row>
    <row r="584" spans="1:2">
      <c r="A584" t="str">
        <f>IF(AND(LEFT('S.01.01.04'!$D$53,8)&lt;&gt;"Reported",'S.01.01.04'!$D$53&lt;&gt;""),Show!$B$4 &amp; "S.31.02.04.01 Rows{Z}@ForceFilingCode:false","")</f>
        <v/>
      </c>
      <c r="B584" t="str">
        <f>IF(AND(LEFT('S.01.01.04'!$D$53,8)&lt;&gt;"Reported",'S.01.01.04'!$D$53&lt;&gt;""),Show!$B$4&amp; Show!$B$4&amp;"S.31.02.04.01 Rows{Z}@ForceFilingCode:false","")</f>
        <v/>
      </c>
    </row>
    <row r="585" spans="1:2">
      <c r="A585" t="str">
        <f>IF(AND(LEFT('S.01.01.04'!$D$53,8)&lt;&gt;"Reported",'S.01.01.04'!$D$53&lt;&gt;""),Show!$B$4 &amp; "S.31.02.04.02 Rows{Z}@ForceFilingCode:false","")</f>
        <v/>
      </c>
      <c r="B585" t="str">
        <f>IF(AND(LEFT('S.01.01.04'!$D$53,8)&lt;&gt;"Reported",'S.01.01.04'!$D$53&lt;&gt;""),Show!$B$4&amp; Show!$B$4&amp;"S.31.02.04.02 Rows{Z}@ForceFilingCode:false","")</f>
        <v/>
      </c>
    </row>
    <row r="586" spans="1:2">
      <c r="A586" t="str">
        <f>IF(AND(LEFT('S.01.01.04'!$D$54,8)&lt;&gt;"Reported",'S.01.01.04'!$D$54&lt;&gt;""),Show!$B$4 &amp; "S.32.01.04.01 Rows{Z}@ForceFilingCode:false","")</f>
        <v/>
      </c>
      <c r="B586" t="str">
        <f>IF(AND(LEFT('S.01.01.04'!$D$54,8)&lt;&gt;"Reported",'S.01.01.04'!$D$54&lt;&gt;""),Show!$B$4&amp; Show!$B$4&amp;"S.32.01.04.01 Rows{Z}@ForceFilingCode:false","")</f>
        <v/>
      </c>
    </row>
    <row r="587" spans="1:2">
      <c r="A587" t="str">
        <f>IF(AND(LEFT('S.01.01.04'!$D$55,8)&lt;&gt;"Reported",'S.01.01.04'!$D$55&lt;&gt;""),Show!$B$4 &amp; "S.33.01.04.01 Rows{Z}@ForceFilingCode:false","")</f>
        <v/>
      </c>
      <c r="B587" t="str">
        <f>IF(AND(LEFT('S.01.01.04'!$D$55,8)&lt;&gt;"Reported",'S.01.01.04'!$D$55&lt;&gt;""),Show!$B$4&amp; Show!$B$4&amp;"S.33.01.04.01 Rows{Z}@ForceFilingCode:false","")</f>
        <v/>
      </c>
    </row>
    <row r="588" spans="1:2">
      <c r="A588" t="str">
        <f>IF(AND(LEFT('S.01.01.04'!$D$56,8)&lt;&gt;"Reported",'S.01.01.04'!$D$56&lt;&gt;""),Show!$B$4 &amp; "S.34.01.04.01 Rows{Z}@ForceFilingCode:false","")</f>
        <v/>
      </c>
      <c r="B588" t="str">
        <f>IF(AND(LEFT('S.01.01.04'!$D$56,8)&lt;&gt;"Reported",'S.01.01.04'!$D$56&lt;&gt;""),Show!$B$4&amp; Show!$B$4&amp;"S.34.01.04.01 Rows{Z}@ForceFilingCode:false","")</f>
        <v/>
      </c>
    </row>
    <row r="589" spans="1:2">
      <c r="A589" t="str">
        <f>IF(AND(LEFT('S.01.01.04'!$D$57,8)&lt;&gt;"Reported",'S.01.01.04'!$D$57&lt;&gt;""),Show!$B$4 &amp; "S.35.01.04.01 Rows{Z}@ForceFilingCode:false","")</f>
        <v/>
      </c>
      <c r="B589" t="str">
        <f>IF(AND(LEFT('S.01.01.04'!$D$57,8)&lt;&gt;"Reported",'S.01.01.04'!$D$57&lt;&gt;""),Show!$B$4&amp; Show!$B$4&amp;"S.35.01.04.01 Rows{Z}@ForceFilingCode:false","")</f>
        <v/>
      </c>
    </row>
    <row r="590" spans="1:2">
      <c r="A590" t="str">
        <f>IF(AND(LEFT('S.01.01.04'!$D$58,8)&lt;&gt;"Reported",'S.01.01.04'!$D$58&lt;&gt;""),Show!$B$4 &amp; "S.36.01.01.01 Rows{Z}@ForceFilingCode:false","")</f>
        <v/>
      </c>
      <c r="B590" t="str">
        <f>IF(AND(LEFT('S.01.01.04'!$D$58,8)&lt;&gt;"Reported",'S.01.01.04'!$D$58&lt;&gt;""),Show!$B$4&amp; Show!$B$4&amp;"S.36.01.01.01 Rows{Z}@ForceFilingCode:false","")</f>
        <v/>
      </c>
    </row>
    <row r="591" spans="1:2">
      <c r="A591" t="str">
        <f>IF(AND(LEFT('S.01.01.04'!$D$59,8)&lt;&gt;"Reported",'S.01.01.04'!$D$59&lt;&gt;""),Show!$B$4 &amp; "S.36.02.01.01 Rows{Z}@ForceFilingCode:false","")</f>
        <v/>
      </c>
      <c r="B591" t="str">
        <f>IF(AND(LEFT('S.01.01.04'!$D$59,8)&lt;&gt;"Reported",'S.01.01.04'!$D$59&lt;&gt;""),Show!$B$4&amp; Show!$B$4&amp;"S.36.02.01.01 Rows{Z}@ForceFilingCode:false","")</f>
        <v/>
      </c>
    </row>
    <row r="592" spans="1:2">
      <c r="A592" t="str">
        <f>IF(AND(LEFT('S.01.01.04'!$D$60,8)&lt;&gt;"Reported",'S.01.01.04'!$D$60&lt;&gt;""),Show!$B$4 &amp; "S.36.03.01.01 Rows{Z}@ForceFilingCode:false","")</f>
        <v/>
      </c>
      <c r="B592" t="str">
        <f>IF(AND(LEFT('S.01.01.04'!$D$60,8)&lt;&gt;"Reported",'S.01.01.04'!$D$60&lt;&gt;""),Show!$B$4&amp; Show!$B$4&amp;"S.36.03.01.01 Rows{Z}@ForceFilingCode:false","")</f>
        <v/>
      </c>
    </row>
    <row r="593" spans="1:2">
      <c r="A593" t="str">
        <f>IF(AND(LEFT('S.01.01.04'!$D$61,8)&lt;&gt;"Reported",'S.01.01.04'!$D$61&lt;&gt;""),Show!$B$4 &amp; "S.36.04.01.01 Rows{Z}@ForceFilingCode:false","")</f>
        <v/>
      </c>
      <c r="B593" t="str">
        <f>IF(AND(LEFT('S.01.01.04'!$D$61,8)&lt;&gt;"Reported",'S.01.01.04'!$D$61&lt;&gt;""),Show!$B$4&amp; Show!$B$4&amp;"S.36.04.01.01 Rows{Z}@ForceFilingCode:false","")</f>
        <v/>
      </c>
    </row>
    <row r="594" spans="1:2">
      <c r="A594" t="str">
        <f>IF(AND(LEFT('S.01.01.04'!$D$62,8)&lt;&gt;"Reported",'S.01.01.04'!$D$62&lt;&gt;""),Show!$B$4 &amp; "S.37.01.04.01 Rows{Z}@ForceFilingCode:false","")</f>
        <v/>
      </c>
      <c r="B594" t="str">
        <f>IF(AND(LEFT('S.01.01.04'!$D$62,8)&lt;&gt;"Reported",'S.01.01.04'!$D$62&lt;&gt;""),Show!$B$4&amp; Show!$B$4&amp;"S.37.01.04.01 Rows{Z}@ForceFilingCode:false","")</f>
        <v/>
      </c>
    </row>
    <row r="595" spans="1:2">
      <c r="A595" t="str">
        <f>IF(AND(LEFT('S.01.01.05'!$D$16,8)&lt;&gt;"Reported",'S.01.01.05'!$D$16&lt;&gt;""),Show!$B$5 &amp; "S.01.02.04.01 Rows{Z}@ForceFilingCode:false","")</f>
        <v/>
      </c>
      <c r="B595" t="str">
        <f>IF(AND(LEFT('S.01.01.05'!$D$16,8)&lt;&gt;"Reported",'S.01.01.05'!$D$16&lt;&gt;""),Show!$B$5&amp; Show!$B$5&amp;"S.01.02.04.01 Rows{Z}@ForceFilingCode:false","")</f>
        <v/>
      </c>
    </row>
    <row r="596" spans="1:2">
      <c r="A596" t="str">
        <f>IF(AND(LEFT('S.01.01.05'!$D$17,8)&lt;&gt;"Reported",'S.01.01.05'!$D$17&lt;&gt;""),Show!$B$5 &amp; "S.02.01.02.01 Rows{Z}@ForceFilingCode:false","")</f>
        <v/>
      </c>
      <c r="B596" t="str">
        <f>IF(AND(LEFT('S.01.01.05'!$D$17,8)&lt;&gt;"Reported",'S.01.01.05'!$D$17&lt;&gt;""),Show!$B$5&amp; Show!$B$5&amp;"S.02.01.02.01 Rows{Z}@ForceFilingCode:false","")</f>
        <v/>
      </c>
    </row>
    <row r="597" spans="1:2">
      <c r="A597" t="str">
        <f>IF(AND(LEFT('S.01.01.05'!$D$18,8)&lt;&gt;"Reported",'S.01.01.05'!$D$18&lt;&gt;""),Show!$B$5 &amp; "S.05.01.02.01 Rows{Z}@ForceFilingCode:false","")</f>
        <v/>
      </c>
      <c r="B597" t="str">
        <f>IF(AND(LEFT('S.01.01.05'!$D$18,8)&lt;&gt;"Reported",'S.01.01.05'!$D$18&lt;&gt;""),Show!$B$5&amp; Show!$B$5&amp;"S.05.01.02.01 Rows{Z}@ForceFilingCode:false","")</f>
        <v/>
      </c>
    </row>
    <row r="598" spans="1:2">
      <c r="A598" t="str">
        <f>IF(AND(LEFT('S.01.01.05'!$D$18,8)&lt;&gt;"Reported",'S.01.01.05'!$D$18&lt;&gt;""),Show!$B$5 &amp; "S.05.01.02.02 Rows{Z}@ForceFilingCode:false","")</f>
        <v/>
      </c>
      <c r="B598" t="str">
        <f>IF(AND(LEFT('S.01.01.05'!$D$18,8)&lt;&gt;"Reported",'S.01.01.05'!$D$18&lt;&gt;""),Show!$B$5&amp; Show!$B$5&amp;"S.05.01.02.02 Rows{Z}@ForceFilingCode:false","")</f>
        <v/>
      </c>
    </row>
    <row r="599" spans="1:2">
      <c r="A599" t="str">
        <f>IF(AND(LEFT('S.01.01.05'!$D$19,8)&lt;&gt;"Reported",'S.01.01.05'!$D$19&lt;&gt;""),Show!$B$5 &amp; "S.06.02.04.01 Rows{Z}@ForceFilingCode:false","")</f>
        <v/>
      </c>
      <c r="B599" t="str">
        <f>IF(AND(LEFT('S.01.01.05'!$D$19,8)&lt;&gt;"Reported",'S.01.01.05'!$D$19&lt;&gt;""),Show!$B$5&amp; Show!$B$5&amp;"S.06.02.04.01 Rows{Z}@ForceFilingCode:false","")</f>
        <v/>
      </c>
    </row>
    <row r="600" spans="1:2">
      <c r="A600" t="str">
        <f>IF(AND(LEFT('S.01.01.05'!$D$19,8)&lt;&gt;"Reported",'S.01.01.05'!$D$19&lt;&gt;""),Show!$B$5 &amp; "S.06.02.04.02 Rows{Z}@ForceFilingCode:false","")</f>
        <v/>
      </c>
      <c r="B600" t="str">
        <f>IF(AND(LEFT('S.01.01.05'!$D$19,8)&lt;&gt;"Reported",'S.01.01.05'!$D$19&lt;&gt;""),Show!$B$5&amp; Show!$B$5&amp;"S.06.02.04.02 Rows{Z}@ForceFilingCode:false","")</f>
        <v/>
      </c>
    </row>
    <row r="601" spans="1:2">
      <c r="A601" t="str">
        <f>IF(AND(LEFT('S.01.01.05'!$D$20,8)&lt;&gt;"Reported",'S.01.01.05'!$D$20&lt;&gt;""),Show!$B$5 &amp; "S.06.03.04.01 Rows{Z}@ForceFilingCode:false","")</f>
        <v/>
      </c>
      <c r="B601" t="str">
        <f>IF(AND(LEFT('S.01.01.05'!$D$20,8)&lt;&gt;"Reported",'S.01.01.05'!$D$20&lt;&gt;""),Show!$B$5&amp; Show!$B$5&amp;"S.06.03.04.01 Rows{Z}@ForceFilingCode:false","")</f>
        <v/>
      </c>
    </row>
    <row r="602" spans="1:2">
      <c r="A602" t="str">
        <f>IF(AND(LEFT('S.01.01.05'!$D$21,8)&lt;&gt;"Reported",'S.01.01.05'!$D$21&lt;&gt;""),Show!$B$5 &amp; "S.08.01.04.01 Rows{Z}@ForceFilingCode:false","")</f>
        <v/>
      </c>
      <c r="B602" t="str">
        <f>IF(AND(LEFT('S.01.01.05'!$D$21,8)&lt;&gt;"Reported",'S.01.01.05'!$D$21&lt;&gt;""),Show!$B$5&amp; Show!$B$5&amp;"S.08.01.04.01 Rows{Z}@ForceFilingCode:false","")</f>
        <v/>
      </c>
    </row>
    <row r="603" spans="1:2">
      <c r="A603" t="str">
        <f>IF(AND(LEFT('S.01.01.05'!$D$21,8)&lt;&gt;"Reported",'S.01.01.05'!$D$21&lt;&gt;""),Show!$B$5 &amp; "S.08.01.04.02 Rows{Z}@ForceFilingCode:false","")</f>
        <v/>
      </c>
      <c r="B603" t="str">
        <f>IF(AND(LEFT('S.01.01.05'!$D$21,8)&lt;&gt;"Reported",'S.01.01.05'!$D$21&lt;&gt;""),Show!$B$5&amp; Show!$B$5&amp;"S.08.01.04.02 Rows{Z}@ForceFilingCode:false","")</f>
        <v/>
      </c>
    </row>
    <row r="604" spans="1:2">
      <c r="A604" t="str">
        <f>IF(AND(LEFT('S.01.01.05'!$D$22,8)&lt;&gt;"Reported",'S.01.01.05'!$D$22&lt;&gt;""),Show!$B$5 &amp; "S.08.02.04.01 Rows{Z}@ForceFilingCode:false","")</f>
        <v/>
      </c>
      <c r="B604" t="str">
        <f>IF(AND(LEFT('S.01.01.05'!$D$22,8)&lt;&gt;"Reported",'S.01.01.05'!$D$22&lt;&gt;""),Show!$B$5&amp; Show!$B$5&amp;"S.08.02.04.01 Rows{Z}@ForceFilingCode:false","")</f>
        <v/>
      </c>
    </row>
    <row r="605" spans="1:2">
      <c r="A605" t="str">
        <f>IF(AND(LEFT('S.01.01.05'!$D$22,8)&lt;&gt;"Reported",'S.01.01.05'!$D$22&lt;&gt;""),Show!$B$5 &amp; "S.08.02.04.02 Rows{Z}@ForceFilingCode:false","")</f>
        <v/>
      </c>
      <c r="B605" t="str">
        <f>IF(AND(LEFT('S.01.01.05'!$D$22,8)&lt;&gt;"Reported",'S.01.01.05'!$D$22&lt;&gt;""),Show!$B$5&amp; Show!$B$5&amp;"S.08.02.04.02 Rows{Z}@ForceFilingCode:false","")</f>
        <v/>
      </c>
    </row>
    <row r="606" spans="1:2">
      <c r="A606" t="str">
        <f>IF(AND(LEFT('S.01.01.05'!$D$23,8)&lt;&gt;"Reported",'S.01.01.05'!$D$23&lt;&gt;""),Show!$B$5 &amp; "S.23.01.04.01 Rows{Z}@ForceFilingCode:false","")</f>
        <v/>
      </c>
      <c r="B606" t="str">
        <f>IF(AND(LEFT('S.01.01.05'!$D$23,8)&lt;&gt;"Reported",'S.01.01.05'!$D$23&lt;&gt;""),Show!$B$5&amp; Show!$B$5&amp;"S.23.01.04.01 Rows{Z}@ForceFilingCode:false","")</f>
        <v/>
      </c>
    </row>
    <row r="607" spans="1:2">
      <c r="A607" t="str">
        <f>IF(AND(LEFT('S.01.01.05'!$D$23,8)&lt;&gt;"Reported",'S.01.01.05'!$D$23&lt;&gt;""),Show!$B$5 &amp; "S.23.01.04.02 Rows{Z}@ForceFilingCode:false","")</f>
        <v/>
      </c>
      <c r="B607" t="str">
        <f>IF(AND(LEFT('S.01.01.05'!$D$23,8)&lt;&gt;"Reported",'S.01.01.05'!$D$23&lt;&gt;""),Show!$B$5&amp; Show!$B$5&amp;"S.23.01.04.02 Rows{Z}@ForceFilingCode:false","")</f>
        <v/>
      </c>
    </row>
    <row r="608" spans="1:2">
      <c r="A608" t="str">
        <f>IF(AND(LEFT('S.01.01.07'!$D$16,8)&lt;&gt;"Reported",'S.01.01.07'!$D$16&lt;&gt;""),Show!$B$6 &amp; "S.01.02.07.01 Rows{Z}@ForceFilingCode:false","")</f>
        <v/>
      </c>
      <c r="B608" t="str">
        <f>IF(AND(LEFT('S.01.01.07'!$D$16,8)&lt;&gt;"Reported",'S.01.01.07'!$D$16&lt;&gt;""),Show!$B$6&amp; Show!$B$6&amp;"S.01.02.07.01 Rows{Z}@ForceFilingCode:false","")</f>
        <v/>
      </c>
    </row>
    <row r="609" spans="1:2">
      <c r="A609" t="str">
        <f>IF(AND(LEFT('S.01.01.07'!$D$16,8)&lt;&gt;"Reported",'S.01.01.07'!$D$16&lt;&gt;""),Show!$B$6 &amp; "S.01.02.07.02 Rows{Z}@ForceFilingCode:false","")</f>
        <v/>
      </c>
      <c r="B609" t="str">
        <f>IF(AND(LEFT('S.01.01.07'!$D$16,8)&lt;&gt;"Reported",'S.01.01.07'!$D$16&lt;&gt;""),Show!$B$6&amp; Show!$B$6&amp;"S.01.02.07.02 Rows{Z}@ForceFilingCode:false","")</f>
        <v/>
      </c>
    </row>
    <row r="610" spans="1:2">
      <c r="A610" t="str">
        <f>IF(AND(LEFT('S.01.01.07'!$D$16,8)&lt;&gt;"Reported",'S.01.01.07'!$D$16&lt;&gt;""),Show!$B$6 &amp; "S.01.02.07.03 Rows{Z}@ForceFilingCode:false","")</f>
        <v/>
      </c>
      <c r="B610" t="str">
        <f>IF(AND(LEFT('S.01.01.07'!$D$16,8)&lt;&gt;"Reported",'S.01.01.07'!$D$16&lt;&gt;""),Show!$B$6&amp; Show!$B$6&amp;"S.01.02.07.03 Rows{Z}@ForceFilingCode:false","")</f>
        <v/>
      </c>
    </row>
    <row r="611" spans="1:2">
      <c r="A611" t="str">
        <f>IF(AND(LEFT('S.01.01.07'!$D$17,8)&lt;&gt;"Reported",'S.01.01.07'!$D$17&lt;&gt;""),Show!$B$6 &amp; "S.01.03.01.01 Rows{Z}@ForceFilingCode:false","")</f>
        <v/>
      </c>
      <c r="B611" t="str">
        <f>IF(AND(LEFT('S.01.01.07'!$D$17,8)&lt;&gt;"Reported",'S.01.01.07'!$D$17&lt;&gt;""),Show!$B$6&amp; Show!$B$6&amp;"S.01.03.01.01 Rows{Z}@ForceFilingCode:false","")</f>
        <v/>
      </c>
    </row>
    <row r="612" spans="1:2">
      <c r="A612" t="str">
        <f>IF(AND(LEFT('S.01.01.07'!$D$17,8)&lt;&gt;"Reported",'S.01.01.07'!$D$17&lt;&gt;""),Show!$B$6 &amp; "S.01.03.01.02 Rows{Z}@ForceFilingCode:false","")</f>
        <v/>
      </c>
      <c r="B612" t="str">
        <f>IF(AND(LEFT('S.01.01.07'!$D$17,8)&lt;&gt;"Reported",'S.01.01.07'!$D$17&lt;&gt;""),Show!$B$6&amp; Show!$B$6&amp;"S.01.03.01.02 Rows{Z}@ForceFilingCode:false","")</f>
        <v/>
      </c>
    </row>
    <row r="613" spans="1:2">
      <c r="A613" t="str">
        <f>IF(AND(LEFT('S.01.01.07'!$D$18,8)&lt;&gt;"Reported",'S.01.01.07'!$D$18&lt;&gt;""),Show!$B$6 &amp; "S.02.01.07.01 Rows{Z}@ForceFilingCode:false","")</f>
        <v/>
      </c>
      <c r="B613" t="str">
        <f>IF(AND(LEFT('S.01.01.07'!$D$18,8)&lt;&gt;"Reported",'S.01.01.07'!$D$18&lt;&gt;""),Show!$B$6&amp; Show!$B$6&amp;"S.02.01.07.01 Rows{Z}@ForceFilingCode:false","")</f>
        <v/>
      </c>
    </row>
    <row r="614" spans="1:2">
      <c r="A614" t="str">
        <f>IF(AND(LEFT('S.01.01.07'!$D$19,8)&lt;&gt;"Reported",'S.01.01.07'!$D$19&lt;&gt;""),Show!$B$6 &amp; "S.02.02.01.01 Rows{Z}@ForceFilingCode:false","")</f>
        <v/>
      </c>
      <c r="B614" t="str">
        <f>IF(AND(LEFT('S.01.01.07'!$D$19,8)&lt;&gt;"Reported",'S.01.01.07'!$D$19&lt;&gt;""),Show!$B$6&amp; Show!$B$6&amp;"S.02.02.01.01 Rows{Z}@ForceFilingCode:false","")</f>
        <v/>
      </c>
    </row>
    <row r="615" spans="1:2">
      <c r="A615" t="str">
        <f>IF(AND(LEFT('S.01.01.07'!$D$19,8)&lt;&gt;"Reported",'S.01.01.07'!$D$19&lt;&gt;""),Show!$B$6 &amp; "S.02.02.01.02 Rows{Z}@ForceFilingCode:false","")</f>
        <v/>
      </c>
      <c r="B615" t="str">
        <f>IF(AND(LEFT('S.01.01.07'!$D$19,8)&lt;&gt;"Reported",'S.01.01.07'!$D$19&lt;&gt;""),Show!$B$6&amp; Show!$B$6&amp;"S.02.02.01.02 Rows{Z}@ForceFilingCode:false","")</f>
        <v/>
      </c>
    </row>
    <row r="616" spans="1:2">
      <c r="A616" t="str">
        <f>IF(AND(LEFT('S.01.01.07'!$D$20,8)&lt;&gt;"Reported",'S.01.01.07'!$D$20&lt;&gt;""),Show!$B$6 &amp; "S.02.03.07.01 Rows{Z}@ForceFilingCode:false","")</f>
        <v/>
      </c>
      <c r="B616" t="str">
        <f>IF(AND(LEFT('S.01.01.07'!$D$20,8)&lt;&gt;"Reported",'S.01.01.07'!$D$20&lt;&gt;""),Show!$B$6&amp; Show!$B$6&amp;"S.02.03.07.01 Rows{Z}@ForceFilingCode:false","")</f>
        <v/>
      </c>
    </row>
    <row r="617" spans="1:2">
      <c r="A617" t="str">
        <f>IF(AND(LEFT('S.01.01.07'!$D$20,8)&lt;&gt;"Reported",'S.01.01.07'!$D$20&lt;&gt;""),Show!$B$6 &amp; "S.02.03.07.02 Rows{Z}@ForceFilingCode:false","")</f>
        <v/>
      </c>
      <c r="B617" t="str">
        <f>IF(AND(LEFT('S.01.01.07'!$D$20,8)&lt;&gt;"Reported",'S.01.01.07'!$D$20&lt;&gt;""),Show!$B$6&amp; Show!$B$6&amp;"S.02.03.07.02 Rows{Z}@ForceFilingCode:false","")</f>
        <v/>
      </c>
    </row>
    <row r="618" spans="1:2">
      <c r="A618" t="str">
        <f>IF(AND(LEFT('S.01.01.07'!$D$20,8)&lt;&gt;"Reported",'S.01.01.07'!$D$20&lt;&gt;""),Show!$B$6 &amp; "S.02.03.07.03 Rows{Z}@ForceFilingCode:false","")</f>
        <v/>
      </c>
      <c r="B618" t="str">
        <f>IF(AND(LEFT('S.01.01.07'!$D$20,8)&lt;&gt;"Reported",'S.01.01.07'!$D$20&lt;&gt;""),Show!$B$6&amp; Show!$B$6&amp;"S.02.03.07.03 Rows{Z}@ForceFilingCode:false","")</f>
        <v/>
      </c>
    </row>
    <row r="619" spans="1:2">
      <c r="A619" t="str">
        <f>IF(AND(LEFT('S.01.01.07'!$D$21,8)&lt;&gt;"Reported",'S.01.01.07'!$D$21&lt;&gt;""),Show!$B$6 &amp; "S.03.01.01.01 Rows{Z}@ForceFilingCode:false","")</f>
        <v/>
      </c>
      <c r="B619" t="str">
        <f>IF(AND(LEFT('S.01.01.07'!$D$21,8)&lt;&gt;"Reported",'S.01.01.07'!$D$21&lt;&gt;""),Show!$B$6&amp; Show!$B$6&amp;"S.03.01.01.01 Rows{Z}@ForceFilingCode:false","")</f>
        <v/>
      </c>
    </row>
    <row r="620" spans="1:2">
      <c r="A620" t="str">
        <f>IF(AND(LEFT('S.01.01.07'!$D$21,8)&lt;&gt;"Reported",'S.01.01.07'!$D$21&lt;&gt;""),Show!$B$6 &amp; "S.03.01.01.02 Rows{Z}@ForceFilingCode:false","")</f>
        <v/>
      </c>
      <c r="B620" t="str">
        <f>IF(AND(LEFT('S.01.01.07'!$D$21,8)&lt;&gt;"Reported",'S.01.01.07'!$D$21&lt;&gt;""),Show!$B$6&amp; Show!$B$6&amp;"S.03.01.01.02 Rows{Z}@ForceFilingCode:false","")</f>
        <v/>
      </c>
    </row>
    <row r="621" spans="1:2">
      <c r="A621" t="str">
        <f>IF(AND(LEFT('S.01.01.07'!$D$22,8)&lt;&gt;"Reported",'S.01.01.07'!$D$22&lt;&gt;""),Show!$B$6 &amp; "S.03.02.01.01 Rows{Z}@ForceFilingCode:false","")</f>
        <v/>
      </c>
      <c r="B621" t="str">
        <f>IF(AND(LEFT('S.01.01.07'!$D$22,8)&lt;&gt;"Reported",'S.01.01.07'!$D$22&lt;&gt;""),Show!$B$6&amp; Show!$B$6&amp;"S.03.02.01.01 Rows{Z}@ForceFilingCode:false","")</f>
        <v/>
      </c>
    </row>
    <row r="622" spans="1:2">
      <c r="A622" t="str">
        <f>IF(AND(LEFT('S.01.01.07'!$D$23,8)&lt;&gt;"Reported",'S.01.01.07'!$D$23&lt;&gt;""),Show!$B$6 &amp; "S.03.03.01.01 Rows{Z}@ForceFilingCode:false","")</f>
        <v/>
      </c>
      <c r="B622" t="str">
        <f>IF(AND(LEFT('S.01.01.07'!$D$23,8)&lt;&gt;"Reported",'S.01.01.07'!$D$23&lt;&gt;""),Show!$B$6&amp; Show!$B$6&amp;"S.03.03.01.01 Rows{Z}@ForceFilingCode:false","")</f>
        <v/>
      </c>
    </row>
    <row r="623" spans="1:2">
      <c r="A623" t="str">
        <f>IF(AND(LEFT('S.01.01.07'!$D$24,8)&lt;&gt;"Reported",'S.01.01.07'!$D$24&lt;&gt;""),Show!$B$6 &amp; "S.05.01.01.01 Rows{Z}@ForceFilingCode:false","")</f>
        <v/>
      </c>
      <c r="B623" t="str">
        <f>IF(AND(LEFT('S.01.01.07'!$D$24,8)&lt;&gt;"Reported",'S.01.01.07'!$D$24&lt;&gt;""),Show!$B$6&amp; Show!$B$6&amp;"S.05.01.01.01 Rows{Z}@ForceFilingCode:false","")</f>
        <v/>
      </c>
    </row>
    <row r="624" spans="1:2">
      <c r="A624" t="str">
        <f>IF(AND(LEFT('S.01.01.07'!$D$24,8)&lt;&gt;"Reported",'S.01.01.07'!$D$24&lt;&gt;""),Show!$B$6 &amp; "S.05.01.01.02 Rows{Z}@ForceFilingCode:false","")</f>
        <v/>
      </c>
      <c r="B624" t="str">
        <f>IF(AND(LEFT('S.01.01.07'!$D$24,8)&lt;&gt;"Reported",'S.01.01.07'!$D$24&lt;&gt;""),Show!$B$6&amp; Show!$B$6&amp;"S.05.01.01.02 Rows{Z}@ForceFilingCode:false","")</f>
        <v/>
      </c>
    </row>
    <row r="625" spans="1:2">
      <c r="A625" t="str">
        <f>IF(AND(LEFT('S.01.01.07'!$D$25,8)&lt;&gt;"Reported",'S.01.01.07'!$D$25&lt;&gt;""),Show!$B$6 &amp; "S.05.02.01.01 Rows{Z}@ForceFilingCode:false","")</f>
        <v/>
      </c>
      <c r="B625" t="str">
        <f>IF(AND(LEFT('S.01.01.07'!$D$25,8)&lt;&gt;"Reported",'S.01.01.07'!$D$25&lt;&gt;""),Show!$B$6&amp; Show!$B$6&amp;"S.05.02.01.01 Rows{Z}@ForceFilingCode:false","")</f>
        <v/>
      </c>
    </row>
    <row r="626" spans="1:2">
      <c r="A626" t="str">
        <f>IF(AND(LEFT('S.01.01.07'!$D$25,8)&lt;&gt;"Reported",'S.01.01.07'!$D$25&lt;&gt;""),Show!$B$6 &amp; "S.05.02.01.02 Rows{Z}@ForceFilingCode:false","")</f>
        <v/>
      </c>
      <c r="B626" t="str">
        <f>IF(AND(LEFT('S.01.01.07'!$D$25,8)&lt;&gt;"Reported",'S.01.01.07'!$D$25&lt;&gt;""),Show!$B$6&amp; Show!$B$6&amp;"S.05.02.01.02 Rows{Z}@ForceFilingCode:false","")</f>
        <v/>
      </c>
    </row>
    <row r="627" spans="1:2">
      <c r="A627" t="str">
        <f>IF(AND(LEFT('S.01.01.07'!$D$25,8)&lt;&gt;"Reported",'S.01.01.07'!$D$25&lt;&gt;""),Show!$B$6 &amp; "S.05.02.01.03 Rows{Z}@ForceFilingCode:false","")</f>
        <v/>
      </c>
      <c r="B627" t="str">
        <f>IF(AND(LEFT('S.01.01.07'!$D$25,8)&lt;&gt;"Reported",'S.01.01.07'!$D$25&lt;&gt;""),Show!$B$6&amp; Show!$B$6&amp;"S.05.02.01.03 Rows{Z}@ForceFilingCode:false","")</f>
        <v/>
      </c>
    </row>
    <row r="628" spans="1:2">
      <c r="A628" t="str">
        <f>IF(AND(LEFT('S.01.01.07'!$D$25,8)&lt;&gt;"Reported",'S.01.01.07'!$D$25&lt;&gt;""),Show!$B$6 &amp; "S.05.02.01.04 Rows{Z}@ForceFilingCode:false","")</f>
        <v/>
      </c>
      <c r="B628" t="str">
        <f>IF(AND(LEFT('S.01.01.07'!$D$25,8)&lt;&gt;"Reported",'S.01.01.07'!$D$25&lt;&gt;""),Show!$B$6&amp; Show!$B$6&amp;"S.05.02.01.04 Rows{Z}@ForceFilingCode:false","")</f>
        <v/>
      </c>
    </row>
    <row r="629" spans="1:2">
      <c r="A629" t="str">
        <f>IF(AND(LEFT('S.01.01.07'!$D$25,8)&lt;&gt;"Reported",'S.01.01.07'!$D$25&lt;&gt;""),Show!$B$6 &amp; "S.05.02.01.05 Rows{Z}@ForceFilingCode:false","")</f>
        <v/>
      </c>
      <c r="B629" t="str">
        <f>IF(AND(LEFT('S.01.01.07'!$D$25,8)&lt;&gt;"Reported",'S.01.01.07'!$D$25&lt;&gt;""),Show!$B$6&amp; Show!$B$6&amp;"S.05.02.01.05 Rows{Z}@ForceFilingCode:false","")</f>
        <v/>
      </c>
    </row>
    <row r="630" spans="1:2">
      <c r="A630" t="str">
        <f>IF(AND(LEFT('S.01.01.07'!$D$25,8)&lt;&gt;"Reported",'S.01.01.07'!$D$25&lt;&gt;""),Show!$B$6 &amp; "S.05.02.01.06 Rows{Z}@ForceFilingCode:false","")</f>
        <v/>
      </c>
      <c r="B630" t="str">
        <f>IF(AND(LEFT('S.01.01.07'!$D$25,8)&lt;&gt;"Reported",'S.01.01.07'!$D$25&lt;&gt;""),Show!$B$6&amp; Show!$B$6&amp;"S.05.02.01.06 Rows{Z}@ForceFilingCode:false","")</f>
        <v/>
      </c>
    </row>
    <row r="631" spans="1:2">
      <c r="A631" t="str">
        <f>IF(AND(LEFT('S.01.01.07'!$D$26,8)&lt;&gt;"Reported",'S.01.01.07'!$D$26&lt;&gt;""),Show!$B$6 &amp; "S.06.02.07.01 Rows{Z}@ForceFilingCode:false","")</f>
        <v/>
      </c>
      <c r="B631" t="str">
        <f>IF(AND(LEFT('S.01.01.07'!$D$26,8)&lt;&gt;"Reported",'S.01.01.07'!$D$26&lt;&gt;""),Show!$B$6&amp; Show!$B$6&amp;"S.06.02.07.01 Rows{Z}@ForceFilingCode:false","")</f>
        <v/>
      </c>
    </row>
    <row r="632" spans="1:2">
      <c r="A632" t="str">
        <f>IF(AND(LEFT('S.01.01.07'!$D$26,8)&lt;&gt;"Reported",'S.01.01.07'!$D$26&lt;&gt;""),Show!$B$6 &amp; "S.06.02.07.02 Rows{Z}@ForceFilingCode:false","")</f>
        <v/>
      </c>
      <c r="B632" t="str">
        <f>IF(AND(LEFT('S.01.01.07'!$D$26,8)&lt;&gt;"Reported",'S.01.01.07'!$D$26&lt;&gt;""),Show!$B$6&amp; Show!$B$6&amp;"S.06.02.07.02 Rows{Z}@ForceFilingCode:false","")</f>
        <v/>
      </c>
    </row>
    <row r="633" spans="1:2">
      <c r="A633" t="str">
        <f>IF(AND(LEFT('S.01.01.07'!$D$27,8)&lt;&gt;"Reported",'S.01.01.07'!$D$27&lt;&gt;""),Show!$B$6 &amp; "S.06.03.01.01 Rows{Z}@ForceFilingCode:false","")</f>
        <v/>
      </c>
      <c r="B633" t="str">
        <f>IF(AND(LEFT('S.01.01.07'!$D$27,8)&lt;&gt;"Reported",'S.01.01.07'!$D$27&lt;&gt;""),Show!$B$6&amp; Show!$B$6&amp;"S.06.03.01.01 Rows{Z}@ForceFilingCode:false","")</f>
        <v/>
      </c>
    </row>
    <row r="634" spans="1:2">
      <c r="A634" t="str">
        <f>IF(AND(LEFT('S.01.01.07'!$D$28,8)&lt;&gt;"Reported",'S.01.01.07'!$D$28&lt;&gt;""),Show!$B$6 &amp; "S.07.01.01.01 Rows{Z}@ForceFilingCode:false","")</f>
        <v/>
      </c>
      <c r="B634" t="str">
        <f>IF(AND(LEFT('S.01.01.07'!$D$28,8)&lt;&gt;"Reported",'S.01.01.07'!$D$28&lt;&gt;""),Show!$B$6&amp; Show!$B$6&amp;"S.07.01.01.01 Rows{Z}@ForceFilingCode:false","")</f>
        <v/>
      </c>
    </row>
    <row r="635" spans="1:2">
      <c r="A635" t="str">
        <f>IF(AND(LEFT('S.01.01.07'!$D$29,8)&lt;&gt;"Reported",'S.01.01.07'!$D$29&lt;&gt;""),Show!$B$6 &amp; "S.08.01.01.01 Rows{Z}@ForceFilingCode:false","")</f>
        <v/>
      </c>
      <c r="B635" t="str">
        <f>IF(AND(LEFT('S.01.01.07'!$D$29,8)&lt;&gt;"Reported",'S.01.01.07'!$D$29&lt;&gt;""),Show!$B$6&amp; Show!$B$6&amp;"S.08.01.01.01 Rows{Z}@ForceFilingCode:false","")</f>
        <v/>
      </c>
    </row>
    <row r="636" spans="1:2">
      <c r="A636" t="str">
        <f>IF(AND(LEFT('S.01.01.07'!$D$29,8)&lt;&gt;"Reported",'S.01.01.07'!$D$29&lt;&gt;""),Show!$B$6 &amp; "S.08.01.01.02 Rows{Z}@ForceFilingCode:false","")</f>
        <v/>
      </c>
      <c r="B636" t="str">
        <f>IF(AND(LEFT('S.01.01.07'!$D$29,8)&lt;&gt;"Reported",'S.01.01.07'!$D$29&lt;&gt;""),Show!$B$6&amp; Show!$B$6&amp;"S.08.01.01.02 Rows{Z}@ForceFilingCode:false","")</f>
        <v/>
      </c>
    </row>
    <row r="637" spans="1:2">
      <c r="A637" t="str">
        <f>IF(AND(LEFT('S.01.01.07'!$D$30,8)&lt;&gt;"Reported",'S.01.01.07'!$D$30&lt;&gt;""),Show!$B$6 &amp; "S.08.02.01.01 Rows{Z}@ForceFilingCode:false","")</f>
        <v/>
      </c>
      <c r="B637" t="str">
        <f>IF(AND(LEFT('S.01.01.07'!$D$30,8)&lt;&gt;"Reported",'S.01.01.07'!$D$30&lt;&gt;""),Show!$B$6&amp; Show!$B$6&amp;"S.08.02.01.01 Rows{Z}@ForceFilingCode:false","")</f>
        <v/>
      </c>
    </row>
    <row r="638" spans="1:2">
      <c r="A638" t="str">
        <f>IF(AND(LEFT('S.01.01.07'!$D$30,8)&lt;&gt;"Reported",'S.01.01.07'!$D$30&lt;&gt;""),Show!$B$6 &amp; "S.08.02.01.02 Rows{Z}@ForceFilingCode:false","")</f>
        <v/>
      </c>
      <c r="B638" t="str">
        <f>IF(AND(LEFT('S.01.01.07'!$D$30,8)&lt;&gt;"Reported",'S.01.01.07'!$D$30&lt;&gt;""),Show!$B$6&amp; Show!$B$6&amp;"S.08.02.01.02 Rows{Z}@ForceFilingCode:false","")</f>
        <v/>
      </c>
    </row>
    <row r="639" spans="1:2">
      <c r="A639" t="str">
        <f>IF(AND(LEFT('S.01.01.07'!$D$31,8)&lt;&gt;"Reported",'S.01.01.07'!$D$31&lt;&gt;""),Show!$B$6 &amp; "S.09.01.01.01 Rows{Z}@ForceFilingCode:false","")</f>
        <v/>
      </c>
      <c r="B639" t="str">
        <f>IF(AND(LEFT('S.01.01.07'!$D$31,8)&lt;&gt;"Reported",'S.01.01.07'!$D$31&lt;&gt;""),Show!$B$6&amp; Show!$B$6&amp;"S.09.01.01.01 Rows{Z}@ForceFilingCode:false","")</f>
        <v/>
      </c>
    </row>
    <row r="640" spans="1:2">
      <c r="A640" t="str">
        <f>IF(AND(LEFT('S.01.01.07'!$D$32,8)&lt;&gt;"Reported",'S.01.01.07'!$D$32&lt;&gt;""),Show!$B$6 &amp; "S.10.01.01.01 Rows{Z}@ForceFilingCode:false","")</f>
        <v/>
      </c>
      <c r="B640" t="str">
        <f>IF(AND(LEFT('S.01.01.07'!$D$32,8)&lt;&gt;"Reported",'S.01.01.07'!$D$32&lt;&gt;""),Show!$B$6&amp; Show!$B$6&amp;"S.10.01.01.01 Rows{Z}@ForceFilingCode:false","")</f>
        <v/>
      </c>
    </row>
    <row r="641" spans="1:2">
      <c r="A641" t="str">
        <f>IF(AND(LEFT('S.01.01.07'!$D$33,8)&lt;&gt;"Reported",'S.01.01.07'!$D$33&lt;&gt;""),Show!$B$6 &amp; "S.11.01.01.01 Rows{Z}@ForceFilingCode:false","")</f>
        <v/>
      </c>
      <c r="B641" t="str">
        <f>IF(AND(LEFT('S.01.01.07'!$D$33,8)&lt;&gt;"Reported",'S.01.01.07'!$D$33&lt;&gt;""),Show!$B$6&amp; Show!$B$6&amp;"S.11.01.01.01 Rows{Z}@ForceFilingCode:false","")</f>
        <v/>
      </c>
    </row>
    <row r="642" spans="1:2">
      <c r="A642" t="str">
        <f>IF(AND(LEFT('S.01.01.07'!$D$33,8)&lt;&gt;"Reported",'S.01.01.07'!$D$33&lt;&gt;""),Show!$B$6 &amp; "S.11.01.01.02 Rows{Z}@ForceFilingCode:false","")</f>
        <v/>
      </c>
      <c r="B642" t="str">
        <f>IF(AND(LEFT('S.01.01.07'!$D$33,8)&lt;&gt;"Reported",'S.01.01.07'!$D$33&lt;&gt;""),Show!$B$6&amp; Show!$B$6&amp;"S.11.01.01.02 Rows{Z}@ForceFilingCode:false","")</f>
        <v/>
      </c>
    </row>
    <row r="643" spans="1:2">
      <c r="A643" t="str">
        <f>IF(AND(LEFT('S.01.01.07'!$D$34,8)&lt;&gt;"Reported",'S.01.01.07'!$D$34&lt;&gt;""),Show!$B$6 &amp; "S.12.01.01.01 Rows{Z}@ForceFilingCode:false","")</f>
        <v/>
      </c>
      <c r="B643" t="str">
        <f>IF(AND(LEFT('S.01.01.07'!$D$34,8)&lt;&gt;"Reported",'S.01.01.07'!$D$34&lt;&gt;""),Show!$B$6&amp; Show!$B$6&amp;"S.12.01.01.01 Rows{Z}@ForceFilingCode:false","")</f>
        <v/>
      </c>
    </row>
    <row r="644" spans="1:2">
      <c r="A644" t="str">
        <f>IF(AND(LEFT('S.01.01.07'!$D$35,8)&lt;&gt;"Reported",'S.01.01.07'!$D$35&lt;&gt;""),Show!$B$6 &amp; "S.12.02.01.01 Rows{Z}@ForceFilingCode:false","")</f>
        <v/>
      </c>
      <c r="B644" t="str">
        <f>IF(AND(LEFT('S.01.01.07'!$D$35,8)&lt;&gt;"Reported",'S.01.01.07'!$D$35&lt;&gt;""),Show!$B$6&amp; Show!$B$6&amp;"S.12.02.01.01 Rows{Z}@ForceFilingCode:false","")</f>
        <v/>
      </c>
    </row>
    <row r="645" spans="1:2">
      <c r="A645" t="str">
        <f>IF(AND(LEFT('S.01.01.07'!$D$35,8)&lt;&gt;"Reported",'S.01.01.07'!$D$35&lt;&gt;""),Show!$B$6 &amp; "S.12.02.01.02 Rows{Z}@ForceFilingCode:false","")</f>
        <v/>
      </c>
      <c r="B645" t="str">
        <f>IF(AND(LEFT('S.01.01.07'!$D$35,8)&lt;&gt;"Reported",'S.01.01.07'!$D$35&lt;&gt;""),Show!$B$6&amp; Show!$B$6&amp;"S.12.02.01.02 Rows{Z}@ForceFilingCode:false","")</f>
        <v/>
      </c>
    </row>
    <row r="646" spans="1:2">
      <c r="A646" t="str">
        <f>IF(AND(LEFT('S.01.01.07'!$D$36,8)&lt;&gt;"Reported",'S.01.01.07'!$D$36&lt;&gt;""),Show!$B$6 &amp; "S.13.01.01.01 Rows{Z}@ForceFilingCode:false","")</f>
        <v/>
      </c>
      <c r="B646" t="str">
        <f>IF(AND(LEFT('S.01.01.07'!$D$36,8)&lt;&gt;"Reported",'S.01.01.07'!$D$36&lt;&gt;""),Show!$B$6&amp; Show!$B$6&amp;"S.13.01.01.01 Rows{Z}@ForceFilingCode:false","")</f>
        <v/>
      </c>
    </row>
    <row r="647" spans="1:2">
      <c r="A647" t="str">
        <f>IF(AND(LEFT('S.01.01.07'!$D$37,8)&lt;&gt;"Reported",'S.01.01.07'!$D$37&lt;&gt;""),Show!$B$6 &amp; "S.14.01.01.01 Rows{Z}@ForceFilingCode:false","")</f>
        <v/>
      </c>
      <c r="B647" t="str">
        <f>IF(AND(LEFT('S.01.01.07'!$D$37,8)&lt;&gt;"Reported",'S.01.01.07'!$D$37&lt;&gt;""),Show!$B$6&amp; Show!$B$6&amp;"S.14.01.01.01 Rows{Z}@ForceFilingCode:false","")</f>
        <v/>
      </c>
    </row>
    <row r="648" spans="1:2">
      <c r="A648" t="str">
        <f>IF(AND(LEFT('S.01.01.07'!$D$37,8)&lt;&gt;"Reported",'S.01.01.07'!$D$37&lt;&gt;""),Show!$B$6 &amp; "S.14.01.01.02 Rows{Z}@ForceFilingCode:false","")</f>
        <v/>
      </c>
      <c r="B648" t="str">
        <f>IF(AND(LEFT('S.01.01.07'!$D$37,8)&lt;&gt;"Reported",'S.01.01.07'!$D$37&lt;&gt;""),Show!$B$6&amp; Show!$B$6&amp;"S.14.01.01.02 Rows{Z}@ForceFilingCode:false","")</f>
        <v/>
      </c>
    </row>
    <row r="649" spans="1:2">
      <c r="A649" t="str">
        <f>IF(AND(LEFT('S.01.01.07'!$D$37,8)&lt;&gt;"Reported",'S.01.01.07'!$D$37&lt;&gt;""),Show!$B$6 &amp; "S.14.01.01.03 Rows{Z}@ForceFilingCode:false","")</f>
        <v/>
      </c>
      <c r="B649" t="str">
        <f>IF(AND(LEFT('S.01.01.07'!$D$37,8)&lt;&gt;"Reported",'S.01.01.07'!$D$37&lt;&gt;""),Show!$B$6&amp; Show!$B$6&amp;"S.14.01.01.03 Rows{Z}@ForceFilingCode:false","")</f>
        <v/>
      </c>
    </row>
    <row r="650" spans="1:2">
      <c r="A650" t="str">
        <f>IF(AND(LEFT('S.01.01.07'!$D$37,8)&lt;&gt;"Reported",'S.01.01.07'!$D$37&lt;&gt;""),Show!$B$6 &amp; "S.14.01.01.04 Rows{Z}@ForceFilingCode:false","")</f>
        <v/>
      </c>
      <c r="B650" t="str">
        <f>IF(AND(LEFT('S.01.01.07'!$D$37,8)&lt;&gt;"Reported",'S.01.01.07'!$D$37&lt;&gt;""),Show!$B$6&amp; Show!$B$6&amp;"S.14.01.01.04 Rows{Z}@ForceFilingCode:false","")</f>
        <v/>
      </c>
    </row>
    <row r="651" spans="1:2">
      <c r="A651" t="str">
        <f>IF(AND(LEFT('S.01.01.07'!$D$38,8)&lt;&gt;"Reported",'S.01.01.07'!$D$38&lt;&gt;""),Show!$B$6 &amp; "S.15.01.01.01 Rows{Z}@ForceFilingCode:false","")</f>
        <v/>
      </c>
      <c r="B651" t="str">
        <f>IF(AND(LEFT('S.01.01.07'!$D$38,8)&lt;&gt;"Reported",'S.01.01.07'!$D$38&lt;&gt;""),Show!$B$6&amp; Show!$B$6&amp;"S.15.01.01.01 Rows{Z}@ForceFilingCode:false","")</f>
        <v/>
      </c>
    </row>
    <row r="652" spans="1:2">
      <c r="A652" t="str">
        <f>IF(AND(LEFT('S.01.01.07'!$D$39,8)&lt;&gt;"Reported",'S.01.01.07'!$D$39&lt;&gt;""),Show!$B$6 &amp; "S.15.02.01.01 Rows{Z}@ForceFilingCode:false","")</f>
        <v/>
      </c>
      <c r="B652" t="str">
        <f>IF(AND(LEFT('S.01.01.07'!$D$39,8)&lt;&gt;"Reported",'S.01.01.07'!$D$39&lt;&gt;""),Show!$B$6&amp; Show!$B$6&amp;"S.15.02.01.01 Rows{Z}@ForceFilingCode:false","")</f>
        <v/>
      </c>
    </row>
    <row r="653" spans="1:2">
      <c r="A653" t="str">
        <f>IF(AND(LEFT('S.01.01.07'!$D$40,8)&lt;&gt;"Reported",'S.01.01.07'!$D$40&lt;&gt;""),Show!$B$6 &amp; "S.16.01.01.01 Rows{Z}@ForceFilingCode:false","")</f>
        <v/>
      </c>
      <c r="B653" t="str">
        <f>IF(AND(LEFT('S.01.01.07'!$D$40,8)&lt;&gt;"Reported",'S.01.01.07'!$D$40&lt;&gt;""),Show!$B$6&amp; Show!$B$6&amp;"S.16.01.01.01 Rows{Z}@ForceFilingCode:false","")</f>
        <v/>
      </c>
    </row>
    <row r="654" spans="1:2">
      <c r="A654" t="str">
        <f>IF(AND(LEFT('S.01.01.07'!$D$40,8)&lt;&gt;"Reported",'S.01.01.07'!$D$40&lt;&gt;""),Show!$B$6 &amp; "S.16.01.01.02 Rows{Z}@ForceFilingCode:false","")</f>
        <v/>
      </c>
      <c r="B654" t="str">
        <f>IF(AND(LEFT('S.01.01.07'!$D$40,8)&lt;&gt;"Reported",'S.01.01.07'!$D$40&lt;&gt;""),Show!$B$6&amp; Show!$B$6&amp;"S.16.01.01.02 Rows{Z}@ForceFilingCode:false","")</f>
        <v/>
      </c>
    </row>
    <row r="655" spans="1:2">
      <c r="A655" t="str">
        <f>IF(AND(LEFT('S.01.01.07'!$D$41,8)&lt;&gt;"Reported",'S.01.01.07'!$D$41&lt;&gt;""),Show!$B$6 &amp; "S.17.01.01.01 Rows{Z}@ForceFilingCode:false","")</f>
        <v/>
      </c>
      <c r="B655" t="str">
        <f>IF(AND(LEFT('S.01.01.07'!$D$41,8)&lt;&gt;"Reported",'S.01.01.07'!$D$41&lt;&gt;""),Show!$B$6&amp; Show!$B$6&amp;"S.17.01.01.01 Rows{Z}@ForceFilingCode:false","")</f>
        <v/>
      </c>
    </row>
    <row r="656" spans="1:2">
      <c r="A656" t="str">
        <f>IF(AND(LEFT('S.01.01.07'!$D$42,8)&lt;&gt;"Reported",'S.01.01.07'!$D$42&lt;&gt;""),Show!$B$6 &amp; "S.17.02.01.01 Rows{Z}@ForceFilingCode:false","")</f>
        <v/>
      </c>
      <c r="B656" t="str">
        <f>IF(AND(LEFT('S.01.01.07'!$D$42,8)&lt;&gt;"Reported",'S.01.01.07'!$D$42&lt;&gt;""),Show!$B$6&amp; Show!$B$6&amp;"S.17.02.01.01 Rows{Z}@ForceFilingCode:false","")</f>
        <v/>
      </c>
    </row>
    <row r="657" spans="1:2">
      <c r="A657" t="str">
        <f>IF(AND(LEFT('S.01.01.07'!$D$42,8)&lt;&gt;"Reported",'S.01.01.07'!$D$42&lt;&gt;""),Show!$B$6 &amp; "S.17.02.01.02 Rows{Z}@ForceFilingCode:false","")</f>
        <v/>
      </c>
      <c r="B657" t="str">
        <f>IF(AND(LEFT('S.01.01.07'!$D$42,8)&lt;&gt;"Reported",'S.01.01.07'!$D$42&lt;&gt;""),Show!$B$6&amp; Show!$B$6&amp;"S.17.02.01.02 Rows{Z}@ForceFilingCode:false","")</f>
        <v/>
      </c>
    </row>
    <row r="658" spans="1:2">
      <c r="A658" t="str">
        <f>IF(AND(LEFT('S.01.01.07'!$D$43,8)&lt;&gt;"Reported",'S.01.01.07'!$D$43&lt;&gt;""),Show!$B$6 &amp; "S.18.01.01.01 Rows{Z}@ForceFilingCode:false","")</f>
        <v/>
      </c>
      <c r="B658" t="str">
        <f>IF(AND(LEFT('S.01.01.07'!$D$43,8)&lt;&gt;"Reported",'S.01.01.07'!$D$43&lt;&gt;""),Show!$B$6&amp; Show!$B$6&amp;"S.18.01.01.01 Rows{Z}@ForceFilingCode:false","")</f>
        <v/>
      </c>
    </row>
    <row r="659" spans="1:2">
      <c r="A659" t="str">
        <f>IF(AND(LEFT('S.01.01.07'!$D$44,8)&lt;&gt;"Reported",'S.01.01.07'!$D$44&lt;&gt;""),Show!$B$6 &amp; "S.19.01.01.01 Rows{Z}@ForceFilingCode:false","")</f>
        <v/>
      </c>
      <c r="B659" t="str">
        <f>IF(AND(LEFT('S.01.01.07'!$D$44,8)&lt;&gt;"Reported",'S.01.01.07'!$D$44&lt;&gt;""),Show!$B$6&amp; Show!$B$6&amp;"S.19.01.01.01 Rows{Z}@ForceFilingCode:false","")</f>
        <v/>
      </c>
    </row>
    <row r="660" spans="1:2">
      <c r="A660" t="str">
        <f>IF(AND(LEFT('S.01.01.07'!$D$44,8)&lt;&gt;"Reported",'S.01.01.07'!$D$44&lt;&gt;""),Show!$B$6 &amp; "S.19.01.01.02 Rows{Z}@ForceFilingCode:false","")</f>
        <v/>
      </c>
      <c r="B660" t="str">
        <f>IF(AND(LEFT('S.01.01.07'!$D$44,8)&lt;&gt;"Reported",'S.01.01.07'!$D$44&lt;&gt;""),Show!$B$6&amp; Show!$B$6&amp;"S.19.01.01.02 Rows{Z}@ForceFilingCode:false","")</f>
        <v/>
      </c>
    </row>
    <row r="661" spans="1:2">
      <c r="A661" t="str">
        <f>IF(AND(LEFT('S.01.01.07'!$D$44,8)&lt;&gt;"Reported",'S.01.01.07'!$D$44&lt;&gt;""),Show!$B$6 &amp; "S.19.01.01.03 Rows{Z}@ForceFilingCode:false","")</f>
        <v/>
      </c>
      <c r="B661" t="str">
        <f>IF(AND(LEFT('S.01.01.07'!$D$44,8)&lt;&gt;"Reported",'S.01.01.07'!$D$44&lt;&gt;""),Show!$B$6&amp; Show!$B$6&amp;"S.19.01.01.03 Rows{Z}@ForceFilingCode:false","")</f>
        <v/>
      </c>
    </row>
    <row r="662" spans="1:2">
      <c r="A662" t="str">
        <f>IF(AND(LEFT('S.01.01.07'!$D$44,8)&lt;&gt;"Reported",'S.01.01.07'!$D$44&lt;&gt;""),Show!$B$6 &amp; "S.19.01.01.04 Rows{Z}@ForceFilingCode:false","")</f>
        <v/>
      </c>
      <c r="B662" t="str">
        <f>IF(AND(LEFT('S.01.01.07'!$D$44,8)&lt;&gt;"Reported",'S.01.01.07'!$D$44&lt;&gt;""),Show!$B$6&amp; Show!$B$6&amp;"S.19.01.01.04 Rows{Z}@ForceFilingCode:false","")</f>
        <v/>
      </c>
    </row>
    <row r="663" spans="1:2">
      <c r="A663" t="str">
        <f>IF(AND(LEFT('S.01.01.07'!$D$44,8)&lt;&gt;"Reported",'S.01.01.07'!$D$44&lt;&gt;""),Show!$B$6 &amp; "S.19.01.01.05 Rows{Z}@ForceFilingCode:false","")</f>
        <v/>
      </c>
      <c r="B663" t="str">
        <f>IF(AND(LEFT('S.01.01.07'!$D$44,8)&lt;&gt;"Reported",'S.01.01.07'!$D$44&lt;&gt;""),Show!$B$6&amp; Show!$B$6&amp;"S.19.01.01.05 Rows{Z}@ForceFilingCode:false","")</f>
        <v/>
      </c>
    </row>
    <row r="664" spans="1:2">
      <c r="A664" t="str">
        <f>IF(AND(LEFT('S.01.01.07'!$D$44,8)&lt;&gt;"Reported",'S.01.01.07'!$D$44&lt;&gt;""),Show!$B$6 &amp; "S.19.01.01.06 Rows{Z}@ForceFilingCode:false","")</f>
        <v/>
      </c>
      <c r="B664" t="str">
        <f>IF(AND(LEFT('S.01.01.07'!$D$44,8)&lt;&gt;"Reported",'S.01.01.07'!$D$44&lt;&gt;""),Show!$B$6&amp; Show!$B$6&amp;"S.19.01.01.06 Rows{Z}@ForceFilingCode:false","")</f>
        <v/>
      </c>
    </row>
    <row r="665" spans="1:2">
      <c r="A665" t="str">
        <f>IF(AND(LEFT('S.01.01.07'!$D$44,8)&lt;&gt;"Reported",'S.01.01.07'!$D$44&lt;&gt;""),Show!$B$6 &amp; "S.19.01.01.07 Rows{Z}@ForceFilingCode:false","")</f>
        <v/>
      </c>
      <c r="B665" t="str">
        <f>IF(AND(LEFT('S.01.01.07'!$D$44,8)&lt;&gt;"Reported",'S.01.01.07'!$D$44&lt;&gt;""),Show!$B$6&amp; Show!$B$6&amp;"S.19.01.01.07 Rows{Z}@ForceFilingCode:false","")</f>
        <v/>
      </c>
    </row>
    <row r="666" spans="1:2">
      <c r="A666" t="str">
        <f>IF(AND(LEFT('S.01.01.07'!$D$44,8)&lt;&gt;"Reported",'S.01.01.07'!$D$44&lt;&gt;""),Show!$B$6 &amp; "S.19.01.01.08 Rows{Z}@ForceFilingCode:false","")</f>
        <v/>
      </c>
      <c r="B666" t="str">
        <f>IF(AND(LEFT('S.01.01.07'!$D$44,8)&lt;&gt;"Reported",'S.01.01.07'!$D$44&lt;&gt;""),Show!$B$6&amp; Show!$B$6&amp;"S.19.01.01.08 Rows{Z}@ForceFilingCode:false","")</f>
        <v/>
      </c>
    </row>
    <row r="667" spans="1:2">
      <c r="A667" t="str">
        <f>IF(AND(LEFT('S.01.01.07'!$D$44,8)&lt;&gt;"Reported",'S.01.01.07'!$D$44&lt;&gt;""),Show!$B$6 &amp; "S.19.01.01.09 Rows{Z}@ForceFilingCode:false","")</f>
        <v/>
      </c>
      <c r="B667" t="str">
        <f>IF(AND(LEFT('S.01.01.07'!$D$44,8)&lt;&gt;"Reported",'S.01.01.07'!$D$44&lt;&gt;""),Show!$B$6&amp; Show!$B$6&amp;"S.19.01.01.09 Rows{Z}@ForceFilingCode:false","")</f>
        <v/>
      </c>
    </row>
    <row r="668" spans="1:2">
      <c r="A668" t="str">
        <f>IF(AND(LEFT('S.01.01.07'!$D$44,8)&lt;&gt;"Reported",'S.01.01.07'!$D$44&lt;&gt;""),Show!$B$6 &amp; "S.19.01.01.10 Rows{Z}@ForceFilingCode:false","")</f>
        <v/>
      </c>
      <c r="B668" t="str">
        <f>IF(AND(LEFT('S.01.01.07'!$D$44,8)&lt;&gt;"Reported",'S.01.01.07'!$D$44&lt;&gt;""),Show!$B$6&amp; Show!$B$6&amp;"S.19.01.01.10 Rows{Z}@ForceFilingCode:false","")</f>
        <v/>
      </c>
    </row>
    <row r="669" spans="1:2">
      <c r="A669" t="str">
        <f>IF(AND(LEFT('S.01.01.07'!$D$44,8)&lt;&gt;"Reported",'S.01.01.07'!$D$44&lt;&gt;""),Show!$B$6 &amp; "S.19.01.01.11 Rows{Z}@ForceFilingCode:false","")</f>
        <v/>
      </c>
      <c r="B669" t="str">
        <f>IF(AND(LEFT('S.01.01.07'!$D$44,8)&lt;&gt;"Reported",'S.01.01.07'!$D$44&lt;&gt;""),Show!$B$6&amp; Show!$B$6&amp;"S.19.01.01.11 Rows{Z}@ForceFilingCode:false","")</f>
        <v/>
      </c>
    </row>
    <row r="670" spans="1:2">
      <c r="A670" t="str">
        <f>IF(AND(LEFT('S.01.01.07'!$D$44,8)&lt;&gt;"Reported",'S.01.01.07'!$D$44&lt;&gt;""),Show!$B$6 &amp; "S.19.01.01.12 Rows{Z}@ForceFilingCode:false","")</f>
        <v/>
      </c>
      <c r="B670" t="str">
        <f>IF(AND(LEFT('S.01.01.07'!$D$44,8)&lt;&gt;"Reported",'S.01.01.07'!$D$44&lt;&gt;""),Show!$B$6&amp; Show!$B$6&amp;"S.19.01.01.12 Rows{Z}@ForceFilingCode:false","")</f>
        <v/>
      </c>
    </row>
    <row r="671" spans="1:2">
      <c r="A671" t="str">
        <f>IF(AND(LEFT('S.01.01.07'!$D$44,8)&lt;&gt;"Reported",'S.01.01.07'!$D$44&lt;&gt;""),Show!$B$6 &amp; "S.19.01.01.13 Rows{Z}@ForceFilingCode:false","")</f>
        <v/>
      </c>
      <c r="B671" t="str">
        <f>IF(AND(LEFT('S.01.01.07'!$D$44,8)&lt;&gt;"Reported",'S.01.01.07'!$D$44&lt;&gt;""),Show!$B$6&amp; Show!$B$6&amp;"S.19.01.01.13 Rows{Z}@ForceFilingCode:false","")</f>
        <v/>
      </c>
    </row>
    <row r="672" spans="1:2">
      <c r="A672" t="str">
        <f>IF(AND(LEFT('S.01.01.07'!$D$44,8)&lt;&gt;"Reported",'S.01.01.07'!$D$44&lt;&gt;""),Show!$B$6 &amp; "S.19.01.01.14 Rows{Z}@ForceFilingCode:false","")</f>
        <v/>
      </c>
      <c r="B672" t="str">
        <f>IF(AND(LEFT('S.01.01.07'!$D$44,8)&lt;&gt;"Reported",'S.01.01.07'!$D$44&lt;&gt;""),Show!$B$6&amp; Show!$B$6&amp;"S.19.01.01.14 Rows{Z}@ForceFilingCode:false","")</f>
        <v/>
      </c>
    </row>
    <row r="673" spans="1:2">
      <c r="A673" t="str">
        <f>IF(AND(LEFT('S.01.01.07'!$D$44,8)&lt;&gt;"Reported",'S.01.01.07'!$D$44&lt;&gt;""),Show!$B$6 &amp; "S.19.01.01.15 Rows{Z}@ForceFilingCode:false","")</f>
        <v/>
      </c>
      <c r="B673" t="str">
        <f>IF(AND(LEFT('S.01.01.07'!$D$44,8)&lt;&gt;"Reported",'S.01.01.07'!$D$44&lt;&gt;""),Show!$B$6&amp; Show!$B$6&amp;"S.19.01.01.15 Rows{Z}@ForceFilingCode:false","")</f>
        <v/>
      </c>
    </row>
    <row r="674" spans="1:2">
      <c r="A674" t="str">
        <f>IF(AND(LEFT('S.01.01.07'!$D$44,8)&lt;&gt;"Reported",'S.01.01.07'!$D$44&lt;&gt;""),Show!$B$6 &amp; "S.19.01.01.16 Rows{Z}@ForceFilingCode:false","")</f>
        <v/>
      </c>
      <c r="B674" t="str">
        <f>IF(AND(LEFT('S.01.01.07'!$D$44,8)&lt;&gt;"Reported",'S.01.01.07'!$D$44&lt;&gt;""),Show!$B$6&amp; Show!$B$6&amp;"S.19.01.01.16 Rows{Z}@ForceFilingCode:false","")</f>
        <v/>
      </c>
    </row>
    <row r="675" spans="1:2">
      <c r="A675" t="str">
        <f>IF(AND(LEFT('S.01.01.07'!$D$44,8)&lt;&gt;"Reported",'S.01.01.07'!$D$44&lt;&gt;""),Show!$B$6 &amp; "S.19.01.01.17 Rows{Z}@ForceFilingCode:false","")</f>
        <v/>
      </c>
      <c r="B675" t="str">
        <f>IF(AND(LEFT('S.01.01.07'!$D$44,8)&lt;&gt;"Reported",'S.01.01.07'!$D$44&lt;&gt;""),Show!$B$6&amp; Show!$B$6&amp;"S.19.01.01.17 Rows{Z}@ForceFilingCode:false","")</f>
        <v/>
      </c>
    </row>
    <row r="676" spans="1:2">
      <c r="A676" t="str">
        <f>IF(AND(LEFT('S.01.01.07'!$D$44,8)&lt;&gt;"Reported",'S.01.01.07'!$D$44&lt;&gt;""),Show!$B$6 &amp; "S.19.01.01.18 Rows{Z}@ForceFilingCode:false","")</f>
        <v/>
      </c>
      <c r="B676" t="str">
        <f>IF(AND(LEFT('S.01.01.07'!$D$44,8)&lt;&gt;"Reported",'S.01.01.07'!$D$44&lt;&gt;""),Show!$B$6&amp; Show!$B$6&amp;"S.19.01.01.18 Rows{Z}@ForceFilingCode:false","")</f>
        <v/>
      </c>
    </row>
    <row r="677" spans="1:2">
      <c r="A677" t="str">
        <f>IF(AND(LEFT('S.01.01.07'!$D$44,8)&lt;&gt;"Reported",'S.01.01.07'!$D$44&lt;&gt;""),Show!$B$6 &amp; "S.19.01.01.19 Rows{Z}@ForceFilingCode:false","")</f>
        <v/>
      </c>
      <c r="B677" t="str">
        <f>IF(AND(LEFT('S.01.01.07'!$D$44,8)&lt;&gt;"Reported",'S.01.01.07'!$D$44&lt;&gt;""),Show!$B$6&amp; Show!$B$6&amp;"S.19.01.01.19 Rows{Z}@ForceFilingCode:false","")</f>
        <v/>
      </c>
    </row>
    <row r="678" spans="1:2">
      <c r="A678" t="str">
        <f>IF(AND(LEFT('S.01.01.07'!$D$44,8)&lt;&gt;"Reported",'S.01.01.07'!$D$44&lt;&gt;""),Show!$B$6 &amp; "S.19.01.01.20 Rows{Z}@ForceFilingCode:false","")</f>
        <v/>
      </c>
      <c r="B678" t="str">
        <f>IF(AND(LEFT('S.01.01.07'!$D$44,8)&lt;&gt;"Reported",'S.01.01.07'!$D$44&lt;&gt;""),Show!$B$6&amp; Show!$B$6&amp;"S.19.01.01.20 Rows{Z}@ForceFilingCode:false","")</f>
        <v/>
      </c>
    </row>
    <row r="679" spans="1:2">
      <c r="A679" t="str">
        <f>IF(AND(LEFT('S.01.01.07'!$D$44,8)&lt;&gt;"Reported",'S.01.01.07'!$D$44&lt;&gt;""),Show!$B$6 &amp; "S.19.01.01.21 Rows{Z}@ForceFilingCode:false","")</f>
        <v/>
      </c>
      <c r="B679" t="str">
        <f>IF(AND(LEFT('S.01.01.07'!$D$44,8)&lt;&gt;"Reported",'S.01.01.07'!$D$44&lt;&gt;""),Show!$B$6&amp; Show!$B$6&amp;"S.19.01.01.21 Rows{Z}@ForceFilingCode:false","")</f>
        <v/>
      </c>
    </row>
    <row r="680" spans="1:2">
      <c r="A680" t="str">
        <f>IF(AND(LEFT('S.01.01.07'!$D$45,8)&lt;&gt;"Reported",'S.01.01.07'!$D$45&lt;&gt;""),Show!$B$6 &amp; "S.20.01.01.01 Rows{Z}@ForceFilingCode:false","")</f>
        <v/>
      </c>
      <c r="B680" t="str">
        <f>IF(AND(LEFT('S.01.01.07'!$D$45,8)&lt;&gt;"Reported",'S.01.01.07'!$D$45&lt;&gt;""),Show!$B$6&amp; Show!$B$6&amp;"S.20.01.01.01 Rows{Z}@ForceFilingCode:false","")</f>
        <v/>
      </c>
    </row>
    <row r="681" spans="1:2">
      <c r="A681" t="str">
        <f>IF(AND(LEFT('S.01.01.07'!$D$46,8)&lt;&gt;"Reported",'S.01.01.07'!$D$46&lt;&gt;""),Show!$B$6 &amp; "S.21.01.01.01 Rows{Z}@ForceFilingCode:false","")</f>
        <v/>
      </c>
      <c r="B681" t="str">
        <f>IF(AND(LEFT('S.01.01.07'!$D$46,8)&lt;&gt;"Reported",'S.01.01.07'!$D$46&lt;&gt;""),Show!$B$6&amp; Show!$B$6&amp;"S.21.01.01.01 Rows{Z}@ForceFilingCode:false","")</f>
        <v/>
      </c>
    </row>
    <row r="682" spans="1:2">
      <c r="A682" t="str">
        <f>IF(AND(LEFT('S.01.01.07'!$D$47,8)&lt;&gt;"Reported",'S.01.01.07'!$D$47&lt;&gt;""),Show!$B$6 &amp; "S.21.02.01.01 Rows{Z}@ForceFilingCode:false","")</f>
        <v/>
      </c>
      <c r="B682" t="str">
        <f>IF(AND(LEFT('S.01.01.07'!$D$47,8)&lt;&gt;"Reported",'S.01.01.07'!$D$47&lt;&gt;""),Show!$B$6&amp; Show!$B$6&amp;"S.21.02.01.01 Rows{Z}@ForceFilingCode:false","")</f>
        <v/>
      </c>
    </row>
    <row r="683" spans="1:2">
      <c r="A683" t="str">
        <f>IF(AND(LEFT('S.01.01.07'!$D$48,8)&lt;&gt;"Reported",'S.01.01.07'!$D$48&lt;&gt;""),Show!$B$6 &amp; "S.21.03.01.01 Rows{Z}@ForceFilingCode:false","")</f>
        <v/>
      </c>
      <c r="B683" t="str">
        <f>IF(AND(LEFT('S.01.01.07'!$D$48,8)&lt;&gt;"Reported",'S.01.01.07'!$D$48&lt;&gt;""),Show!$B$6&amp; Show!$B$6&amp;"S.21.03.01.01 Rows{Z}@ForceFilingCode:false","")</f>
        <v/>
      </c>
    </row>
    <row r="684" spans="1:2">
      <c r="A684" t="str">
        <f>IF(AND(LEFT('S.01.01.07'!$D$49,8)&lt;&gt;"Reported",'S.01.01.07'!$D$49&lt;&gt;""),Show!$B$6 &amp; "S.22.01.01.01 Rows{Z}@ForceFilingCode:false","")</f>
        <v/>
      </c>
      <c r="B684" t="str">
        <f>IF(AND(LEFT('S.01.01.07'!$D$49,8)&lt;&gt;"Reported",'S.01.01.07'!$D$49&lt;&gt;""),Show!$B$6&amp; Show!$B$6&amp;"S.22.01.01.01 Rows{Z}@ForceFilingCode:false","")</f>
        <v/>
      </c>
    </row>
    <row r="685" spans="1:2">
      <c r="A685" t="str">
        <f>IF(AND(LEFT('S.01.01.07'!$D$50,8)&lt;&gt;"Reported",'S.01.01.07'!$D$50&lt;&gt;""),Show!$B$6 &amp; "S.22.04.01.01 Rows{Z}@ForceFilingCode:false","")</f>
        <v/>
      </c>
      <c r="B685" t="str">
        <f>IF(AND(LEFT('S.01.01.07'!$D$50,8)&lt;&gt;"Reported",'S.01.01.07'!$D$50&lt;&gt;""),Show!$B$6&amp; Show!$B$6&amp;"S.22.04.01.01 Rows{Z}@ForceFilingCode:false","")</f>
        <v/>
      </c>
    </row>
    <row r="686" spans="1:2">
      <c r="A686" t="str">
        <f>IF(AND(LEFT('S.01.01.07'!$D$50,8)&lt;&gt;"Reported",'S.01.01.07'!$D$50&lt;&gt;""),Show!$B$6 &amp; "S.22.04.01.02 Rows{Z}@ForceFilingCode:false","")</f>
        <v/>
      </c>
      <c r="B686" t="str">
        <f>IF(AND(LEFT('S.01.01.07'!$D$50,8)&lt;&gt;"Reported",'S.01.01.07'!$D$50&lt;&gt;""),Show!$B$6&amp; Show!$B$6&amp;"S.22.04.01.02 Rows{Z}@ForceFilingCode:false","")</f>
        <v/>
      </c>
    </row>
    <row r="687" spans="1:2">
      <c r="A687" t="str">
        <f>IF(AND(LEFT('S.01.01.07'!$D$51,8)&lt;&gt;"Reported",'S.01.01.07'!$D$51&lt;&gt;""),Show!$B$6 &amp; "S.22.05.01.01 Rows{Z}@ForceFilingCode:false","")</f>
        <v/>
      </c>
      <c r="B687" t="str">
        <f>IF(AND(LEFT('S.01.01.07'!$D$51,8)&lt;&gt;"Reported",'S.01.01.07'!$D$51&lt;&gt;""),Show!$B$6&amp; Show!$B$6&amp;"S.22.05.01.01 Rows{Z}@ForceFilingCode:false","")</f>
        <v/>
      </c>
    </row>
    <row r="688" spans="1:2">
      <c r="A688" t="str">
        <f>IF(AND(LEFT('S.01.01.07'!$D$52,8)&lt;&gt;"Reported",'S.01.01.07'!$D$52&lt;&gt;""),Show!$B$6 &amp; "S.22.06.01.01 Rows{Z}@ForceFilingCode:false","")</f>
        <v/>
      </c>
      <c r="B688" t="str">
        <f>IF(AND(LEFT('S.01.01.07'!$D$52,8)&lt;&gt;"Reported",'S.01.01.07'!$D$52&lt;&gt;""),Show!$B$6&amp; Show!$B$6&amp;"S.22.06.01.01 Rows{Z}@ForceFilingCode:false","")</f>
        <v/>
      </c>
    </row>
    <row r="689" spans="1:2">
      <c r="A689" t="str">
        <f>IF(AND(LEFT('S.01.01.07'!$D$52,8)&lt;&gt;"Reported",'S.01.01.07'!$D$52&lt;&gt;""),Show!$B$6 &amp; "S.22.06.01.02 Rows{Z}@ForceFilingCode:false","")</f>
        <v/>
      </c>
      <c r="B689" t="str">
        <f>IF(AND(LEFT('S.01.01.07'!$D$52,8)&lt;&gt;"Reported",'S.01.01.07'!$D$52&lt;&gt;""),Show!$B$6&amp; Show!$B$6&amp;"S.22.06.01.02 Rows{Z}@ForceFilingCode:false","")</f>
        <v/>
      </c>
    </row>
    <row r="690" spans="1:2">
      <c r="A690" t="str">
        <f>IF(AND(LEFT('S.01.01.07'!$D$52,8)&lt;&gt;"Reported",'S.01.01.07'!$D$52&lt;&gt;""),Show!$B$6 &amp; "S.22.06.01.03 Rows{Z}@ForceFilingCode:false","")</f>
        <v/>
      </c>
      <c r="B690" t="str">
        <f>IF(AND(LEFT('S.01.01.07'!$D$52,8)&lt;&gt;"Reported",'S.01.01.07'!$D$52&lt;&gt;""),Show!$B$6&amp; Show!$B$6&amp;"S.22.06.01.03 Rows{Z}@ForceFilingCode:false","")</f>
        <v/>
      </c>
    </row>
    <row r="691" spans="1:2">
      <c r="A691" t="str">
        <f>IF(AND(LEFT('S.01.01.07'!$D$52,8)&lt;&gt;"Reported",'S.01.01.07'!$D$52&lt;&gt;""),Show!$B$6 &amp; "S.22.06.01.04 Rows{Z}@ForceFilingCode:false","")</f>
        <v/>
      </c>
      <c r="B691" t="str">
        <f>IF(AND(LEFT('S.01.01.07'!$D$52,8)&lt;&gt;"Reported",'S.01.01.07'!$D$52&lt;&gt;""),Show!$B$6&amp; Show!$B$6&amp;"S.22.06.01.04 Rows{Z}@ForceFilingCode:false","")</f>
        <v/>
      </c>
    </row>
    <row r="692" spans="1:2">
      <c r="A692" t="str">
        <f>IF(AND(LEFT('S.01.01.07'!$D$53,8)&lt;&gt;"Reported",'S.01.01.07'!$D$53&lt;&gt;""),Show!$B$6 &amp; "S.23.01.07.01 Rows{Z}@ForceFilingCode:false","")</f>
        <v/>
      </c>
      <c r="B692" t="str">
        <f>IF(AND(LEFT('S.01.01.07'!$D$53,8)&lt;&gt;"Reported",'S.01.01.07'!$D$53&lt;&gt;""),Show!$B$6&amp; Show!$B$6&amp;"S.23.01.07.01 Rows{Z}@ForceFilingCode:false","")</f>
        <v/>
      </c>
    </row>
    <row r="693" spans="1:2">
      <c r="A693" t="str">
        <f>IF(AND(LEFT('S.01.01.07'!$D$53,8)&lt;&gt;"Reported",'S.01.01.07'!$D$53&lt;&gt;""),Show!$B$6 &amp; "S.23.01.07.02 Rows{Z}@ForceFilingCode:false","")</f>
        <v/>
      </c>
      <c r="B693" t="str">
        <f>IF(AND(LEFT('S.01.01.07'!$D$53,8)&lt;&gt;"Reported",'S.01.01.07'!$D$53&lt;&gt;""),Show!$B$6&amp; Show!$B$6&amp;"S.23.01.07.02 Rows{Z}@ForceFilingCode:false","")</f>
        <v/>
      </c>
    </row>
    <row r="694" spans="1:2">
      <c r="A694" t="str">
        <f>IF(AND(LEFT('S.01.01.07'!$D$54,8)&lt;&gt;"Reported",'S.01.01.07'!$D$54&lt;&gt;""),Show!$B$6 &amp; "S.23.03.07.01 Rows{Z}@ForceFilingCode:false","")</f>
        <v/>
      </c>
      <c r="B694" t="str">
        <f>IF(AND(LEFT('S.01.01.07'!$D$54,8)&lt;&gt;"Reported",'S.01.01.07'!$D$54&lt;&gt;""),Show!$B$6&amp; Show!$B$6&amp;"S.23.03.07.01 Rows{Z}@ForceFilingCode:false","")</f>
        <v/>
      </c>
    </row>
    <row r="695" spans="1:2">
      <c r="A695" t="str">
        <f>IF(AND(LEFT('S.01.01.07'!$D$54,8)&lt;&gt;"Reported",'S.01.01.07'!$D$54&lt;&gt;""),Show!$B$6 &amp; "S.23.03.07.02 Rows{Z}@ForceFilingCode:false","")</f>
        <v/>
      </c>
      <c r="B695" t="str">
        <f>IF(AND(LEFT('S.01.01.07'!$D$54,8)&lt;&gt;"Reported",'S.01.01.07'!$D$54&lt;&gt;""),Show!$B$6&amp; Show!$B$6&amp;"S.23.03.07.02 Rows{Z}@ForceFilingCode:false","")</f>
        <v/>
      </c>
    </row>
    <row r="696" spans="1:2">
      <c r="A696" t="str">
        <f>IF(AND(LEFT('S.01.01.07'!$D$55,8)&lt;&gt;"Reported",'S.01.01.07'!$D$55&lt;&gt;""),Show!$B$6 &amp; "S.24.01.01.01 Rows{Z}@ForceFilingCode:false","")</f>
        <v/>
      </c>
      <c r="B696" t="str">
        <f>IF(AND(LEFT('S.01.01.07'!$D$55,8)&lt;&gt;"Reported",'S.01.01.07'!$D$55&lt;&gt;""),Show!$B$6&amp; Show!$B$6&amp;"S.24.01.01.01 Rows{Z}@ForceFilingCode:false","")</f>
        <v/>
      </c>
    </row>
    <row r="697" spans="1:2">
      <c r="A697" t="str">
        <f>IF(AND(LEFT('S.01.01.07'!$D$55,8)&lt;&gt;"Reported",'S.01.01.07'!$D$55&lt;&gt;""),Show!$B$6 &amp; "S.24.01.01.02 Rows{Z}@ForceFilingCode:false","")</f>
        <v/>
      </c>
      <c r="B697" t="str">
        <f>IF(AND(LEFT('S.01.01.07'!$D$55,8)&lt;&gt;"Reported",'S.01.01.07'!$D$55&lt;&gt;""),Show!$B$6&amp; Show!$B$6&amp;"S.24.01.01.02 Rows{Z}@ForceFilingCode:false","")</f>
        <v/>
      </c>
    </row>
    <row r="698" spans="1:2">
      <c r="A698" t="str">
        <f>IF(AND(LEFT('S.01.01.07'!$D$55,8)&lt;&gt;"Reported",'S.01.01.07'!$D$55&lt;&gt;""),Show!$B$6 &amp; "S.24.01.01.03 Rows{Z}@ForceFilingCode:false","")</f>
        <v/>
      </c>
      <c r="B698" t="str">
        <f>IF(AND(LEFT('S.01.01.07'!$D$55,8)&lt;&gt;"Reported",'S.01.01.07'!$D$55&lt;&gt;""),Show!$B$6&amp; Show!$B$6&amp;"S.24.01.01.03 Rows{Z}@ForceFilingCode:false","")</f>
        <v/>
      </c>
    </row>
    <row r="699" spans="1:2">
      <c r="A699" t="str">
        <f>IF(AND(LEFT('S.01.01.07'!$D$55,8)&lt;&gt;"Reported",'S.01.01.07'!$D$55&lt;&gt;""),Show!$B$6 &amp; "S.24.01.01.04 Rows{Z}@ForceFilingCode:false","")</f>
        <v/>
      </c>
      <c r="B699" t="str">
        <f>IF(AND(LEFT('S.01.01.07'!$D$55,8)&lt;&gt;"Reported",'S.01.01.07'!$D$55&lt;&gt;""),Show!$B$6&amp; Show!$B$6&amp;"S.24.01.01.04 Rows{Z}@ForceFilingCode:false","")</f>
        <v/>
      </c>
    </row>
    <row r="700" spans="1:2">
      <c r="A700" t="str">
        <f>IF(AND(LEFT('S.01.01.07'!$D$55,8)&lt;&gt;"Reported",'S.01.01.07'!$D$55&lt;&gt;""),Show!$B$6 &amp; "S.24.01.01.05 Rows{Z}@ForceFilingCode:false","")</f>
        <v/>
      </c>
      <c r="B700" t="str">
        <f>IF(AND(LEFT('S.01.01.07'!$D$55,8)&lt;&gt;"Reported",'S.01.01.07'!$D$55&lt;&gt;""),Show!$B$6&amp; Show!$B$6&amp;"S.24.01.01.05 Rows{Z}@ForceFilingCode:false","")</f>
        <v/>
      </c>
    </row>
    <row r="701" spans="1:2">
      <c r="A701" t="str">
        <f>IF(AND(LEFT('S.01.01.07'!$D$55,8)&lt;&gt;"Reported",'S.01.01.07'!$D$55&lt;&gt;""),Show!$B$6 &amp; "S.24.01.01.06 Rows{Z}@ForceFilingCode:false","")</f>
        <v/>
      </c>
      <c r="B701" t="str">
        <f>IF(AND(LEFT('S.01.01.07'!$D$55,8)&lt;&gt;"Reported",'S.01.01.07'!$D$55&lt;&gt;""),Show!$B$6&amp; Show!$B$6&amp;"S.24.01.01.06 Rows{Z}@ForceFilingCode:false","")</f>
        <v/>
      </c>
    </row>
    <row r="702" spans="1:2">
      <c r="A702" t="str">
        <f>IF(AND(LEFT('S.01.01.07'!$D$55,8)&lt;&gt;"Reported",'S.01.01.07'!$D$55&lt;&gt;""),Show!$B$6 &amp; "S.24.01.01.07 Rows{Z}@ForceFilingCode:false","")</f>
        <v/>
      </c>
      <c r="B702" t="str">
        <f>IF(AND(LEFT('S.01.01.07'!$D$55,8)&lt;&gt;"Reported",'S.01.01.07'!$D$55&lt;&gt;""),Show!$B$6&amp; Show!$B$6&amp;"S.24.01.01.07 Rows{Z}@ForceFilingCode:false","")</f>
        <v/>
      </c>
    </row>
    <row r="703" spans="1:2">
      <c r="A703" t="str">
        <f>IF(AND(LEFT('S.01.01.07'!$D$55,8)&lt;&gt;"Reported",'S.01.01.07'!$D$55&lt;&gt;""),Show!$B$6 &amp; "S.24.01.01.08 Rows{Z}@ForceFilingCode:false","")</f>
        <v/>
      </c>
      <c r="B703" t="str">
        <f>IF(AND(LEFT('S.01.01.07'!$D$55,8)&lt;&gt;"Reported",'S.01.01.07'!$D$55&lt;&gt;""),Show!$B$6&amp; Show!$B$6&amp;"S.24.01.01.08 Rows{Z}@ForceFilingCode:false","")</f>
        <v/>
      </c>
    </row>
    <row r="704" spans="1:2">
      <c r="A704" t="str">
        <f>IF(AND(LEFT('S.01.01.07'!$D$55,8)&lt;&gt;"Reported",'S.01.01.07'!$D$55&lt;&gt;""),Show!$B$6 &amp; "S.24.01.01.09 Rows{Z}@ForceFilingCode:false","")</f>
        <v/>
      </c>
      <c r="B704" t="str">
        <f>IF(AND(LEFT('S.01.01.07'!$D$55,8)&lt;&gt;"Reported",'S.01.01.07'!$D$55&lt;&gt;""),Show!$B$6&amp; Show!$B$6&amp;"S.24.01.01.09 Rows{Z}@ForceFilingCode:false","")</f>
        <v/>
      </c>
    </row>
    <row r="705" spans="1:2">
      <c r="A705" t="str">
        <f>IF(AND(LEFT('S.01.01.07'!$D$55,8)&lt;&gt;"Reported",'S.01.01.07'!$D$55&lt;&gt;""),Show!$B$6 &amp; "S.24.01.01.10 Rows{Z}@ForceFilingCode:false","")</f>
        <v/>
      </c>
      <c r="B705" t="str">
        <f>IF(AND(LEFT('S.01.01.07'!$D$55,8)&lt;&gt;"Reported",'S.01.01.07'!$D$55&lt;&gt;""),Show!$B$6&amp; Show!$B$6&amp;"S.24.01.01.10 Rows{Z}@ForceFilingCode:false","")</f>
        <v/>
      </c>
    </row>
    <row r="706" spans="1:2">
      <c r="A706" t="str">
        <f>IF(AND(LEFT('S.01.01.07'!$D$55,8)&lt;&gt;"Reported",'S.01.01.07'!$D$55&lt;&gt;""),Show!$B$6 &amp; "S.24.01.01.11 Rows{Z}@ForceFilingCode:false","")</f>
        <v/>
      </c>
      <c r="B706" t="str">
        <f>IF(AND(LEFT('S.01.01.07'!$D$55,8)&lt;&gt;"Reported",'S.01.01.07'!$D$55&lt;&gt;""),Show!$B$6&amp; Show!$B$6&amp;"S.24.01.01.11 Rows{Z}@ForceFilingCode:false","")</f>
        <v/>
      </c>
    </row>
    <row r="707" spans="1:2">
      <c r="A707" t="str">
        <f>IF(AND(LEFT('S.01.01.07'!$D$56,8)&lt;&gt;"Reported",'S.01.01.07'!$D$56&lt;&gt;""),Show!$B$6 &amp; "S.25.01.01.01 Rows{Z}@ForceFilingCode:false","")</f>
        <v/>
      </c>
      <c r="B707" t="str">
        <f>IF(AND(LEFT('S.01.01.07'!$D$56,8)&lt;&gt;"Reported",'S.01.01.07'!$D$56&lt;&gt;""),Show!$B$6&amp; Show!$B$6&amp;"S.25.01.01.01 Rows{Z}@ForceFilingCode:false","")</f>
        <v/>
      </c>
    </row>
    <row r="708" spans="1:2">
      <c r="A708" t="str">
        <f>IF(AND(LEFT('S.01.01.07'!$D$56,8)&lt;&gt;"Reported",'S.01.01.07'!$D$56&lt;&gt;""),Show!$B$6 &amp; "S.25.01.01.02 Rows{Z}@ForceFilingCode:false","")</f>
        <v/>
      </c>
      <c r="B708" t="str">
        <f>IF(AND(LEFT('S.01.01.07'!$D$56,8)&lt;&gt;"Reported",'S.01.01.07'!$D$56&lt;&gt;""),Show!$B$6&amp; Show!$B$6&amp;"S.25.01.01.02 Rows{Z}@ForceFilingCode:false","")</f>
        <v/>
      </c>
    </row>
    <row r="709" spans="1:2">
      <c r="A709" t="str">
        <f>IF(AND(LEFT('S.01.01.07'!$D$56,8)&lt;&gt;"Reported",'S.01.01.07'!$D$56&lt;&gt;""),Show!$B$6 &amp; "S.25.01.01.03 Rows{Z}@ForceFilingCode:false","")</f>
        <v/>
      </c>
      <c r="B709" t="str">
        <f>IF(AND(LEFT('S.01.01.07'!$D$56,8)&lt;&gt;"Reported",'S.01.01.07'!$D$56&lt;&gt;""),Show!$B$6&amp; Show!$B$6&amp;"S.25.01.01.03 Rows{Z}@ForceFilingCode:false","")</f>
        <v/>
      </c>
    </row>
    <row r="710" spans="1:2">
      <c r="A710" t="str">
        <f>IF(AND(LEFT('S.01.01.07'!$D$56,8)&lt;&gt;"Reported",'S.01.01.07'!$D$56&lt;&gt;""),Show!$B$6 &amp; "S.25.01.01.04 Rows{Z}@ForceFilingCode:false","")</f>
        <v/>
      </c>
      <c r="B710" t="str">
        <f>IF(AND(LEFT('S.01.01.07'!$D$56,8)&lt;&gt;"Reported",'S.01.01.07'!$D$56&lt;&gt;""),Show!$B$6&amp; Show!$B$6&amp;"S.25.01.01.04 Rows{Z}@ForceFilingCode:false","")</f>
        <v/>
      </c>
    </row>
    <row r="711" spans="1:2">
      <c r="A711" t="str">
        <f>IF(AND(LEFT('S.01.01.07'!$D$56,8)&lt;&gt;"Reported",'S.01.01.07'!$D$56&lt;&gt;""),Show!$B$6 &amp; "S.25.01.01.05 Rows{Z}@ForceFilingCode:false","")</f>
        <v/>
      </c>
      <c r="B711" t="str">
        <f>IF(AND(LEFT('S.01.01.07'!$D$56,8)&lt;&gt;"Reported",'S.01.01.07'!$D$56&lt;&gt;""),Show!$B$6&amp; Show!$B$6&amp;"S.25.01.01.05 Rows{Z}@ForceFilingCode:false","")</f>
        <v/>
      </c>
    </row>
    <row r="712" spans="1:2">
      <c r="A712" t="str">
        <f>IF(AND(LEFT('S.01.01.07'!$D$57,8)&lt;&gt;"Reported",'S.01.01.07'!$D$57&lt;&gt;""),Show!$B$6 &amp; "S.25.02.01.01 Rows{Z}@ForceFilingCode:false","")</f>
        <v/>
      </c>
      <c r="B712" t="str">
        <f>IF(AND(LEFT('S.01.01.07'!$D$57,8)&lt;&gt;"Reported",'S.01.01.07'!$D$57&lt;&gt;""),Show!$B$6&amp; Show!$B$6&amp;"S.25.02.01.01 Rows{Z}@ForceFilingCode:false","")</f>
        <v/>
      </c>
    </row>
    <row r="713" spans="1:2">
      <c r="A713" t="str">
        <f>IF(AND(LEFT('S.01.01.07'!$D$57,8)&lt;&gt;"Reported",'S.01.01.07'!$D$57&lt;&gt;""),Show!$B$6 &amp; "S.25.02.01.02 Rows{Z}@ForceFilingCode:false","")</f>
        <v/>
      </c>
      <c r="B713" t="str">
        <f>IF(AND(LEFT('S.01.01.07'!$D$57,8)&lt;&gt;"Reported",'S.01.01.07'!$D$57&lt;&gt;""),Show!$B$6&amp; Show!$B$6&amp;"S.25.02.01.02 Rows{Z}@ForceFilingCode:false","")</f>
        <v/>
      </c>
    </row>
    <row r="714" spans="1:2">
      <c r="A714" t="str">
        <f>IF(AND(LEFT('S.01.01.07'!$D$57,8)&lt;&gt;"Reported",'S.01.01.07'!$D$57&lt;&gt;""),Show!$B$6 &amp; "S.25.02.01.03 Rows{Z}@ForceFilingCode:false","")</f>
        <v/>
      </c>
      <c r="B714" t="str">
        <f>IF(AND(LEFT('S.01.01.07'!$D$57,8)&lt;&gt;"Reported",'S.01.01.07'!$D$57&lt;&gt;""),Show!$B$6&amp; Show!$B$6&amp;"S.25.02.01.03 Rows{Z}@ForceFilingCode:false","")</f>
        <v/>
      </c>
    </row>
    <row r="715" spans="1:2">
      <c r="A715" t="str">
        <f>IF(AND(LEFT('S.01.01.07'!$D$57,8)&lt;&gt;"Reported",'S.01.01.07'!$D$57&lt;&gt;""),Show!$B$6 &amp; "S.25.02.01.04 Rows{Z}@ForceFilingCode:false","")</f>
        <v/>
      </c>
      <c r="B715" t="str">
        <f>IF(AND(LEFT('S.01.01.07'!$D$57,8)&lt;&gt;"Reported",'S.01.01.07'!$D$57&lt;&gt;""),Show!$B$6&amp; Show!$B$6&amp;"S.25.02.01.04 Rows{Z}@ForceFilingCode:false","")</f>
        <v/>
      </c>
    </row>
    <row r="716" spans="1:2">
      <c r="A716" t="str">
        <f>IF(AND(LEFT('S.01.01.07'!$D$57,8)&lt;&gt;"Reported",'S.01.01.07'!$D$57&lt;&gt;""),Show!$B$6 &amp; "S.25.02.01.05 Rows{Z}@ForceFilingCode:false","")</f>
        <v/>
      </c>
      <c r="B716" t="str">
        <f>IF(AND(LEFT('S.01.01.07'!$D$57,8)&lt;&gt;"Reported",'S.01.01.07'!$D$57&lt;&gt;""),Show!$B$6&amp; Show!$B$6&amp;"S.25.02.01.05 Rows{Z}@ForceFilingCode:false","")</f>
        <v/>
      </c>
    </row>
    <row r="717" spans="1:2">
      <c r="A717" t="str">
        <f>IF(AND(LEFT('S.01.01.07'!$D$58,8)&lt;&gt;"Reported",'S.01.01.07'!$D$58&lt;&gt;""),Show!$B$6 &amp; "S.25.03.01.01 Rows{Z}@ForceFilingCode:false","")</f>
        <v/>
      </c>
      <c r="B717" t="str">
        <f>IF(AND(LEFT('S.01.01.07'!$D$58,8)&lt;&gt;"Reported",'S.01.01.07'!$D$58&lt;&gt;""),Show!$B$6&amp; Show!$B$6&amp;"S.25.03.01.01 Rows{Z}@ForceFilingCode:false","")</f>
        <v/>
      </c>
    </row>
    <row r="718" spans="1:2">
      <c r="A718" t="str">
        <f>IF(AND(LEFT('S.01.01.07'!$D$58,8)&lt;&gt;"Reported",'S.01.01.07'!$D$58&lt;&gt;""),Show!$B$6 &amp; "S.25.03.01.02 Rows{Z}@ForceFilingCode:false","")</f>
        <v/>
      </c>
      <c r="B718" t="str">
        <f>IF(AND(LEFT('S.01.01.07'!$D$58,8)&lt;&gt;"Reported",'S.01.01.07'!$D$58&lt;&gt;""),Show!$B$6&amp; Show!$B$6&amp;"S.25.03.01.02 Rows{Z}@ForceFilingCode:false","")</f>
        <v/>
      </c>
    </row>
    <row r="719" spans="1:2">
      <c r="A719" t="str">
        <f>IF(AND(LEFT('S.01.01.07'!$D$58,8)&lt;&gt;"Reported",'S.01.01.07'!$D$58&lt;&gt;""),Show!$B$6 &amp; "S.25.03.01.03 Rows{Z}@ForceFilingCode:false","")</f>
        <v/>
      </c>
      <c r="B719" t="str">
        <f>IF(AND(LEFT('S.01.01.07'!$D$58,8)&lt;&gt;"Reported",'S.01.01.07'!$D$58&lt;&gt;""),Show!$B$6&amp; Show!$B$6&amp;"S.25.03.01.03 Rows{Z}@ForceFilingCode:false","")</f>
        <v/>
      </c>
    </row>
    <row r="720" spans="1:2">
      <c r="A720" t="str">
        <f>IF(AND(LEFT('S.01.01.07'!$D$58,8)&lt;&gt;"Reported",'S.01.01.07'!$D$58&lt;&gt;""),Show!$B$6 &amp; "S.25.03.01.04 Rows{Z}@ForceFilingCode:false","")</f>
        <v/>
      </c>
      <c r="B720" t="str">
        <f>IF(AND(LEFT('S.01.01.07'!$D$58,8)&lt;&gt;"Reported",'S.01.01.07'!$D$58&lt;&gt;""),Show!$B$6&amp; Show!$B$6&amp;"S.25.03.01.04 Rows{Z}@ForceFilingCode:false","")</f>
        <v/>
      </c>
    </row>
    <row r="721" spans="1:2">
      <c r="A721" t="str">
        <f>IF(AND(LEFT('S.01.01.07'!$D$58,8)&lt;&gt;"Reported",'S.01.01.07'!$D$58&lt;&gt;""),Show!$B$6 &amp; "S.25.03.01.05 Rows{Z}@ForceFilingCode:false","")</f>
        <v/>
      </c>
      <c r="B721" t="str">
        <f>IF(AND(LEFT('S.01.01.07'!$D$58,8)&lt;&gt;"Reported",'S.01.01.07'!$D$58&lt;&gt;""),Show!$B$6&amp; Show!$B$6&amp;"S.25.03.01.05 Rows{Z}@ForceFilingCode:false","")</f>
        <v/>
      </c>
    </row>
    <row r="722" spans="1:2">
      <c r="A722" t="str">
        <f>IF(AND(LEFT('S.01.01.07'!$D$59,8)&lt;&gt;"Reported",'S.01.01.07'!$D$59&lt;&gt;""),Show!$B$6 &amp; "S.26.01.01.01 Rows{Z}@ForceFilingCode:false","")</f>
        <v/>
      </c>
      <c r="B722" t="str">
        <f>IF(AND(LEFT('S.01.01.07'!$D$59,8)&lt;&gt;"Reported",'S.01.01.07'!$D$59&lt;&gt;""),Show!$B$6&amp; Show!$B$6&amp;"S.26.01.01.01 Rows{Z}@ForceFilingCode:false","")</f>
        <v/>
      </c>
    </row>
    <row r="723" spans="1:2">
      <c r="A723" t="str">
        <f>IF(AND(LEFT('S.01.01.07'!$D$59,8)&lt;&gt;"Reported",'S.01.01.07'!$D$59&lt;&gt;""),Show!$B$6 &amp; "S.26.01.01.02 Rows{Z}@ForceFilingCode:false","")</f>
        <v/>
      </c>
      <c r="B723" t="str">
        <f>IF(AND(LEFT('S.01.01.07'!$D$59,8)&lt;&gt;"Reported",'S.01.01.07'!$D$59&lt;&gt;""),Show!$B$6&amp; Show!$B$6&amp;"S.26.01.01.02 Rows{Z}@ForceFilingCode:false","")</f>
        <v/>
      </c>
    </row>
    <row r="724" spans="1:2">
      <c r="A724" t="str">
        <f>IF(AND(LEFT('S.01.01.07'!$D$59,8)&lt;&gt;"Reported",'S.01.01.07'!$D$59&lt;&gt;""),Show!$B$6 &amp; "S.26.01.01.03 Rows{Z}@ForceFilingCode:false","")</f>
        <v/>
      </c>
      <c r="B724" t="str">
        <f>IF(AND(LEFT('S.01.01.07'!$D$59,8)&lt;&gt;"Reported",'S.01.01.07'!$D$59&lt;&gt;""),Show!$B$6&amp; Show!$B$6&amp;"S.26.01.01.03 Rows{Z}@ForceFilingCode:false","")</f>
        <v/>
      </c>
    </row>
    <row r="725" spans="1:2">
      <c r="A725" t="str">
        <f>IF(AND(LEFT('S.01.01.07'!$D$60,8)&lt;&gt;"Reported",'S.01.01.07'!$D$60&lt;&gt;""),Show!$B$6 &amp; "S.26.02.01.01 Rows{Z}@ForceFilingCode:false","")</f>
        <v/>
      </c>
      <c r="B725" t="str">
        <f>IF(AND(LEFT('S.01.01.07'!$D$60,8)&lt;&gt;"Reported",'S.01.01.07'!$D$60&lt;&gt;""),Show!$B$6&amp; Show!$B$6&amp;"S.26.02.01.01 Rows{Z}@ForceFilingCode:false","")</f>
        <v/>
      </c>
    </row>
    <row r="726" spans="1:2">
      <c r="A726" t="str">
        <f>IF(AND(LEFT('S.01.01.07'!$D$60,8)&lt;&gt;"Reported",'S.01.01.07'!$D$60&lt;&gt;""),Show!$B$6 &amp; "S.26.02.01.02 Rows{Z}@ForceFilingCode:false","")</f>
        <v/>
      </c>
      <c r="B726" t="str">
        <f>IF(AND(LEFT('S.01.01.07'!$D$60,8)&lt;&gt;"Reported",'S.01.01.07'!$D$60&lt;&gt;""),Show!$B$6&amp; Show!$B$6&amp;"S.26.02.01.02 Rows{Z}@ForceFilingCode:false","")</f>
        <v/>
      </c>
    </row>
    <row r="727" spans="1:2">
      <c r="A727" t="str">
        <f>IF(AND(LEFT('S.01.01.07'!$D$60,8)&lt;&gt;"Reported",'S.01.01.07'!$D$60&lt;&gt;""),Show!$B$6 &amp; "S.26.02.01.03 Rows{Z}@ForceFilingCode:false","")</f>
        <v/>
      </c>
      <c r="B727" t="str">
        <f>IF(AND(LEFT('S.01.01.07'!$D$60,8)&lt;&gt;"Reported",'S.01.01.07'!$D$60&lt;&gt;""),Show!$B$6&amp; Show!$B$6&amp;"S.26.02.01.03 Rows{Z}@ForceFilingCode:false","")</f>
        <v/>
      </c>
    </row>
    <row r="728" spans="1:2">
      <c r="A728" t="str">
        <f>IF(AND(LEFT('S.01.01.07'!$D$61,8)&lt;&gt;"Reported",'S.01.01.07'!$D$61&lt;&gt;""),Show!$B$6 &amp; "S.26.03.01.01 Rows{Z}@ForceFilingCode:false","")</f>
        <v/>
      </c>
      <c r="B728" t="str">
        <f>IF(AND(LEFT('S.01.01.07'!$D$61,8)&lt;&gt;"Reported",'S.01.01.07'!$D$61&lt;&gt;""),Show!$B$6&amp; Show!$B$6&amp;"S.26.03.01.01 Rows{Z}@ForceFilingCode:false","")</f>
        <v/>
      </c>
    </row>
    <row r="729" spans="1:2">
      <c r="A729" t="str">
        <f>IF(AND(LEFT('S.01.01.07'!$D$61,8)&lt;&gt;"Reported",'S.01.01.07'!$D$61&lt;&gt;""),Show!$B$6 &amp; "S.26.03.01.02 Rows{Z}@ForceFilingCode:false","")</f>
        <v/>
      </c>
      <c r="B729" t="str">
        <f>IF(AND(LEFT('S.01.01.07'!$D$61,8)&lt;&gt;"Reported",'S.01.01.07'!$D$61&lt;&gt;""),Show!$B$6&amp; Show!$B$6&amp;"S.26.03.01.02 Rows{Z}@ForceFilingCode:false","")</f>
        <v/>
      </c>
    </row>
    <row r="730" spans="1:2">
      <c r="A730" t="str">
        <f>IF(AND(LEFT('S.01.01.07'!$D$61,8)&lt;&gt;"Reported",'S.01.01.07'!$D$61&lt;&gt;""),Show!$B$6 &amp; "S.26.03.01.03 Rows{Z}@ForceFilingCode:false","")</f>
        <v/>
      </c>
      <c r="B730" t="str">
        <f>IF(AND(LEFT('S.01.01.07'!$D$61,8)&lt;&gt;"Reported",'S.01.01.07'!$D$61&lt;&gt;""),Show!$B$6&amp; Show!$B$6&amp;"S.26.03.01.03 Rows{Z}@ForceFilingCode:false","")</f>
        <v/>
      </c>
    </row>
    <row r="731" spans="1:2">
      <c r="A731" t="str">
        <f>IF(AND(LEFT('S.01.01.07'!$D$61,8)&lt;&gt;"Reported",'S.01.01.07'!$D$61&lt;&gt;""),Show!$B$6 &amp; "S.26.03.01.04 Rows{Z}@ForceFilingCode:false","")</f>
        <v/>
      </c>
      <c r="B731" t="str">
        <f>IF(AND(LEFT('S.01.01.07'!$D$61,8)&lt;&gt;"Reported",'S.01.01.07'!$D$61&lt;&gt;""),Show!$B$6&amp; Show!$B$6&amp;"S.26.03.01.04 Rows{Z}@ForceFilingCode:false","")</f>
        <v/>
      </c>
    </row>
    <row r="732" spans="1:2">
      <c r="A732" t="str">
        <f>IF(AND(LEFT('S.01.01.07'!$D$62,8)&lt;&gt;"Reported",'S.01.01.07'!$D$62&lt;&gt;""),Show!$B$6 &amp; "S.26.04.01.01 Rows{Z}@ForceFilingCode:false","")</f>
        <v/>
      </c>
      <c r="B732" t="str">
        <f>IF(AND(LEFT('S.01.01.07'!$D$62,8)&lt;&gt;"Reported",'S.01.01.07'!$D$62&lt;&gt;""),Show!$B$6&amp; Show!$B$6&amp;"S.26.04.01.01 Rows{Z}@ForceFilingCode:false","")</f>
        <v/>
      </c>
    </row>
    <row r="733" spans="1:2">
      <c r="A733" t="str">
        <f>IF(AND(LEFT('S.01.01.07'!$D$62,8)&lt;&gt;"Reported",'S.01.01.07'!$D$62&lt;&gt;""),Show!$B$6 &amp; "S.26.04.01.02 Rows{Z}@ForceFilingCode:false","")</f>
        <v/>
      </c>
      <c r="B733" t="str">
        <f>IF(AND(LEFT('S.01.01.07'!$D$62,8)&lt;&gt;"Reported",'S.01.01.07'!$D$62&lt;&gt;""),Show!$B$6&amp; Show!$B$6&amp;"S.26.04.01.02 Rows{Z}@ForceFilingCode:false","")</f>
        <v/>
      </c>
    </row>
    <row r="734" spans="1:2">
      <c r="A734" t="str">
        <f>IF(AND(LEFT('S.01.01.07'!$D$62,8)&lt;&gt;"Reported",'S.01.01.07'!$D$62&lt;&gt;""),Show!$B$6 &amp; "S.26.04.01.03 Rows{Z}@ForceFilingCode:false","")</f>
        <v/>
      </c>
      <c r="B734" t="str">
        <f>IF(AND(LEFT('S.01.01.07'!$D$62,8)&lt;&gt;"Reported",'S.01.01.07'!$D$62&lt;&gt;""),Show!$B$6&amp; Show!$B$6&amp;"S.26.04.01.03 Rows{Z}@ForceFilingCode:false","")</f>
        <v/>
      </c>
    </row>
    <row r="735" spans="1:2">
      <c r="A735" t="str">
        <f>IF(AND(LEFT('S.01.01.07'!$D$62,8)&lt;&gt;"Reported",'S.01.01.07'!$D$62&lt;&gt;""),Show!$B$6 &amp; "S.26.04.01.04 Rows{Z}@ForceFilingCode:false","")</f>
        <v/>
      </c>
      <c r="B735" t="str">
        <f>IF(AND(LEFT('S.01.01.07'!$D$62,8)&lt;&gt;"Reported",'S.01.01.07'!$D$62&lt;&gt;""),Show!$B$6&amp; Show!$B$6&amp;"S.26.04.01.04 Rows{Z}@ForceFilingCode:false","")</f>
        <v/>
      </c>
    </row>
    <row r="736" spans="1:2">
      <c r="A736" t="str">
        <f>IF(AND(LEFT('S.01.01.07'!$D$62,8)&lt;&gt;"Reported",'S.01.01.07'!$D$62&lt;&gt;""),Show!$B$6 &amp; "S.26.04.01.05 Rows{Z}@ForceFilingCode:false","")</f>
        <v/>
      </c>
      <c r="B736" t="str">
        <f>IF(AND(LEFT('S.01.01.07'!$D$62,8)&lt;&gt;"Reported",'S.01.01.07'!$D$62&lt;&gt;""),Show!$B$6&amp; Show!$B$6&amp;"S.26.04.01.05 Rows{Z}@ForceFilingCode:false","")</f>
        <v/>
      </c>
    </row>
    <row r="737" spans="1:2">
      <c r="A737" t="str">
        <f>IF(AND(LEFT('S.01.01.07'!$D$62,8)&lt;&gt;"Reported",'S.01.01.07'!$D$62&lt;&gt;""),Show!$B$6 &amp; "S.26.04.01.06 Rows{Z}@ForceFilingCode:false","")</f>
        <v/>
      </c>
      <c r="B737" t="str">
        <f>IF(AND(LEFT('S.01.01.07'!$D$62,8)&lt;&gt;"Reported",'S.01.01.07'!$D$62&lt;&gt;""),Show!$B$6&amp; Show!$B$6&amp;"S.26.04.01.06 Rows{Z}@ForceFilingCode:false","")</f>
        <v/>
      </c>
    </row>
    <row r="738" spans="1:2">
      <c r="A738" t="str">
        <f>IF(AND(LEFT('S.01.01.07'!$D$62,8)&lt;&gt;"Reported",'S.01.01.07'!$D$62&lt;&gt;""),Show!$B$6 &amp; "S.26.04.01.07 Rows{Z}@ForceFilingCode:false","")</f>
        <v/>
      </c>
      <c r="B738" t="str">
        <f>IF(AND(LEFT('S.01.01.07'!$D$62,8)&lt;&gt;"Reported",'S.01.01.07'!$D$62&lt;&gt;""),Show!$B$6&amp; Show!$B$6&amp;"S.26.04.01.07 Rows{Z}@ForceFilingCode:false","")</f>
        <v/>
      </c>
    </row>
    <row r="739" spans="1:2">
      <c r="A739" t="str">
        <f>IF(AND(LEFT('S.01.01.07'!$D$62,8)&lt;&gt;"Reported",'S.01.01.07'!$D$62&lt;&gt;""),Show!$B$6 &amp; "S.26.04.01.08 Rows{Z}@ForceFilingCode:false","")</f>
        <v/>
      </c>
      <c r="B739" t="str">
        <f>IF(AND(LEFT('S.01.01.07'!$D$62,8)&lt;&gt;"Reported",'S.01.01.07'!$D$62&lt;&gt;""),Show!$B$6&amp; Show!$B$6&amp;"S.26.04.01.08 Rows{Z}@ForceFilingCode:false","")</f>
        <v/>
      </c>
    </row>
    <row r="740" spans="1:2">
      <c r="A740" t="str">
        <f>IF(AND(LEFT('S.01.01.07'!$D$62,8)&lt;&gt;"Reported",'S.01.01.07'!$D$62&lt;&gt;""),Show!$B$6 &amp; "S.26.04.01.09 Rows{Z}@ForceFilingCode:false","")</f>
        <v/>
      </c>
      <c r="B740" t="str">
        <f>IF(AND(LEFT('S.01.01.07'!$D$62,8)&lt;&gt;"Reported",'S.01.01.07'!$D$62&lt;&gt;""),Show!$B$6&amp; Show!$B$6&amp;"S.26.04.01.09 Rows{Z}@ForceFilingCode:false","")</f>
        <v/>
      </c>
    </row>
    <row r="741" spans="1:2">
      <c r="A741" t="str">
        <f>IF(AND(LEFT('S.01.01.07'!$D$63,8)&lt;&gt;"Reported",'S.01.01.07'!$D$63&lt;&gt;""),Show!$B$6 &amp; "S.26.05.01.01 Rows{Z}@ForceFilingCode:false","")</f>
        <v/>
      </c>
      <c r="B741" t="str">
        <f>IF(AND(LEFT('S.01.01.07'!$D$63,8)&lt;&gt;"Reported",'S.01.01.07'!$D$63&lt;&gt;""),Show!$B$6&amp; Show!$B$6&amp;"S.26.05.01.01 Rows{Z}@ForceFilingCode:false","")</f>
        <v/>
      </c>
    </row>
    <row r="742" spans="1:2">
      <c r="A742" t="str">
        <f>IF(AND(LEFT('S.01.01.07'!$D$63,8)&lt;&gt;"Reported",'S.01.01.07'!$D$63&lt;&gt;""),Show!$B$6 &amp; "S.26.05.01.02 Rows{Z}@ForceFilingCode:false","")</f>
        <v/>
      </c>
      <c r="B742" t="str">
        <f>IF(AND(LEFT('S.01.01.07'!$D$63,8)&lt;&gt;"Reported",'S.01.01.07'!$D$63&lt;&gt;""),Show!$B$6&amp; Show!$B$6&amp;"S.26.05.01.02 Rows{Z}@ForceFilingCode:false","")</f>
        <v/>
      </c>
    </row>
    <row r="743" spans="1:2">
      <c r="A743" t="str">
        <f>IF(AND(LEFT('S.01.01.07'!$D$63,8)&lt;&gt;"Reported",'S.01.01.07'!$D$63&lt;&gt;""),Show!$B$6 &amp; "S.26.05.01.03 Rows{Z}@ForceFilingCode:false","")</f>
        <v/>
      </c>
      <c r="B743" t="str">
        <f>IF(AND(LEFT('S.01.01.07'!$D$63,8)&lt;&gt;"Reported",'S.01.01.07'!$D$63&lt;&gt;""),Show!$B$6&amp; Show!$B$6&amp;"S.26.05.01.03 Rows{Z}@ForceFilingCode:false","")</f>
        <v/>
      </c>
    </row>
    <row r="744" spans="1:2">
      <c r="A744" t="str">
        <f>IF(AND(LEFT('S.01.01.07'!$D$63,8)&lt;&gt;"Reported",'S.01.01.07'!$D$63&lt;&gt;""),Show!$B$6 &amp; "S.26.05.01.04 Rows{Z}@ForceFilingCode:false","")</f>
        <v/>
      </c>
      <c r="B744" t="str">
        <f>IF(AND(LEFT('S.01.01.07'!$D$63,8)&lt;&gt;"Reported",'S.01.01.07'!$D$63&lt;&gt;""),Show!$B$6&amp; Show!$B$6&amp;"S.26.05.01.04 Rows{Z}@ForceFilingCode:false","")</f>
        <v/>
      </c>
    </row>
    <row r="745" spans="1:2">
      <c r="A745" t="str">
        <f>IF(AND(LEFT('S.01.01.07'!$D$63,8)&lt;&gt;"Reported",'S.01.01.07'!$D$63&lt;&gt;""),Show!$B$6 &amp; "S.26.05.01.05 Rows{Z}@ForceFilingCode:false","")</f>
        <v/>
      </c>
      <c r="B745" t="str">
        <f>IF(AND(LEFT('S.01.01.07'!$D$63,8)&lt;&gt;"Reported",'S.01.01.07'!$D$63&lt;&gt;""),Show!$B$6&amp; Show!$B$6&amp;"S.26.05.01.05 Rows{Z}@ForceFilingCode:false","")</f>
        <v/>
      </c>
    </row>
    <row r="746" spans="1:2">
      <c r="A746" t="str">
        <f>IF(AND(LEFT('S.01.01.07'!$D$64,8)&lt;&gt;"Reported",'S.01.01.07'!$D$64&lt;&gt;""),Show!$B$6 &amp; "S.26.06.01.01 Rows{Z}@ForceFilingCode:false","")</f>
        <v/>
      </c>
      <c r="B746" t="str">
        <f>IF(AND(LEFT('S.01.01.07'!$D$64,8)&lt;&gt;"Reported",'S.01.01.07'!$D$64&lt;&gt;""),Show!$B$6&amp; Show!$B$6&amp;"S.26.06.01.01 Rows{Z}@ForceFilingCode:false","")</f>
        <v/>
      </c>
    </row>
    <row r="747" spans="1:2">
      <c r="A747" t="str">
        <f>IF(AND(LEFT('S.01.01.07'!$D$65,8)&lt;&gt;"Reported",'S.01.01.07'!$D$65&lt;&gt;""),Show!$B$6 &amp; "S.26.07.01.01 Rows{Z}@ForceFilingCode:false","")</f>
        <v/>
      </c>
      <c r="B747" t="str">
        <f>IF(AND(LEFT('S.01.01.07'!$D$65,8)&lt;&gt;"Reported",'S.01.01.07'!$D$65&lt;&gt;""),Show!$B$6&amp; Show!$B$6&amp;"S.26.07.01.01 Rows{Z}@ForceFilingCode:false","")</f>
        <v/>
      </c>
    </row>
    <row r="748" spans="1:2">
      <c r="A748" t="str">
        <f>IF(AND(LEFT('S.01.01.07'!$D$65,8)&lt;&gt;"Reported",'S.01.01.07'!$D$65&lt;&gt;""),Show!$B$6 &amp; "S.26.07.01.02 Rows{Z}@ForceFilingCode:false","")</f>
        <v/>
      </c>
      <c r="B748" t="str">
        <f>IF(AND(LEFT('S.01.01.07'!$D$65,8)&lt;&gt;"Reported",'S.01.01.07'!$D$65&lt;&gt;""),Show!$B$6&amp; Show!$B$6&amp;"S.26.07.01.02 Rows{Z}@ForceFilingCode:false","")</f>
        <v/>
      </c>
    </row>
    <row r="749" spans="1:2">
      <c r="A749" t="str">
        <f>IF(AND(LEFT('S.01.01.07'!$D$65,8)&lt;&gt;"Reported",'S.01.01.07'!$D$65&lt;&gt;""),Show!$B$6 &amp; "S.26.07.01.03 Rows{Z}@ForceFilingCode:false","")</f>
        <v/>
      </c>
      <c r="B749" t="str">
        <f>IF(AND(LEFT('S.01.01.07'!$D$65,8)&lt;&gt;"Reported",'S.01.01.07'!$D$65&lt;&gt;""),Show!$B$6&amp; Show!$B$6&amp;"S.26.07.01.03 Rows{Z}@ForceFilingCode:false","")</f>
        <v/>
      </c>
    </row>
    <row r="750" spans="1:2">
      <c r="A750" t="str">
        <f>IF(AND(LEFT('S.01.01.07'!$D$65,8)&lt;&gt;"Reported",'S.01.01.07'!$D$65&lt;&gt;""),Show!$B$6 &amp; "S.26.07.01.04 Rows{Z}@ForceFilingCode:false","")</f>
        <v/>
      </c>
      <c r="B750" t="str">
        <f>IF(AND(LEFT('S.01.01.07'!$D$65,8)&lt;&gt;"Reported",'S.01.01.07'!$D$65&lt;&gt;""),Show!$B$6&amp; Show!$B$6&amp;"S.26.07.01.04 Rows{Z}@ForceFilingCode:false","")</f>
        <v/>
      </c>
    </row>
    <row r="751" spans="1:2">
      <c r="A751" t="str">
        <f>IF(AND(LEFT('S.01.01.07'!$D$65,8)&lt;&gt;"Reported",'S.01.01.07'!$D$65&lt;&gt;""),Show!$B$6 &amp; "S.26.07.01.05 Rows{Z}@ForceFilingCode:false","")</f>
        <v/>
      </c>
      <c r="B751" t="str">
        <f>IF(AND(LEFT('S.01.01.07'!$D$65,8)&lt;&gt;"Reported",'S.01.01.07'!$D$65&lt;&gt;""),Show!$B$6&amp; Show!$B$6&amp;"S.26.07.01.05 Rows{Z}@ForceFilingCode:false","")</f>
        <v/>
      </c>
    </row>
    <row r="752" spans="1:2">
      <c r="A752" t="str">
        <f>IF(AND(LEFT('S.01.01.07'!$D$65,8)&lt;&gt;"Reported",'S.01.01.07'!$D$65&lt;&gt;""),Show!$B$6 &amp; "S.26.07.01.06 Rows{Z}@ForceFilingCode:false","")</f>
        <v/>
      </c>
      <c r="B752" t="str">
        <f>IF(AND(LEFT('S.01.01.07'!$D$65,8)&lt;&gt;"Reported",'S.01.01.07'!$D$65&lt;&gt;""),Show!$B$6&amp; Show!$B$6&amp;"S.26.07.01.06 Rows{Z}@ForceFilingCode:false","")</f>
        <v/>
      </c>
    </row>
    <row r="753" spans="1:2">
      <c r="A753" t="str">
        <f>IF(AND(LEFT('S.01.01.07'!$D$66,8)&lt;&gt;"Reported",'S.01.01.07'!$D$66&lt;&gt;""),Show!$B$6 &amp; "S.27.01.01.01 Rows{Z}@ForceFilingCode:false","")</f>
        <v/>
      </c>
      <c r="B753" t="str">
        <f>IF(AND(LEFT('S.01.01.07'!$D$66,8)&lt;&gt;"Reported",'S.01.01.07'!$D$66&lt;&gt;""),Show!$B$6&amp; Show!$B$6&amp;"S.27.01.01.01 Rows{Z}@ForceFilingCode:false","")</f>
        <v/>
      </c>
    </row>
    <row r="754" spans="1:2">
      <c r="A754" t="str">
        <f>IF(AND(LEFT('S.01.01.07'!$D$66,8)&lt;&gt;"Reported",'S.01.01.07'!$D$66&lt;&gt;""),Show!$B$6 &amp; "S.27.01.01.02 Rows{Z}@ForceFilingCode:false","")</f>
        <v/>
      </c>
      <c r="B754" t="str">
        <f>IF(AND(LEFT('S.01.01.07'!$D$66,8)&lt;&gt;"Reported",'S.01.01.07'!$D$66&lt;&gt;""),Show!$B$6&amp; Show!$B$6&amp;"S.27.01.01.02 Rows{Z}@ForceFilingCode:false","")</f>
        <v/>
      </c>
    </row>
    <row r="755" spans="1:2">
      <c r="A755" t="str">
        <f>IF(AND(LEFT('S.01.01.07'!$D$66,8)&lt;&gt;"Reported",'S.01.01.07'!$D$66&lt;&gt;""),Show!$B$6 &amp; "S.27.01.01.03 Rows{Z}@ForceFilingCode:false","")</f>
        <v/>
      </c>
      <c r="B755" t="str">
        <f>IF(AND(LEFT('S.01.01.07'!$D$66,8)&lt;&gt;"Reported",'S.01.01.07'!$D$66&lt;&gt;""),Show!$B$6&amp; Show!$B$6&amp;"S.27.01.01.03 Rows{Z}@ForceFilingCode:false","")</f>
        <v/>
      </c>
    </row>
    <row r="756" spans="1:2">
      <c r="A756" t="str">
        <f>IF(AND(LEFT('S.01.01.07'!$D$66,8)&lt;&gt;"Reported",'S.01.01.07'!$D$66&lt;&gt;""),Show!$B$6 &amp; "S.27.01.01.04 Rows{Z}@ForceFilingCode:false","")</f>
        <v/>
      </c>
      <c r="B756" t="str">
        <f>IF(AND(LEFT('S.01.01.07'!$D$66,8)&lt;&gt;"Reported",'S.01.01.07'!$D$66&lt;&gt;""),Show!$B$6&amp; Show!$B$6&amp;"S.27.01.01.04 Rows{Z}@ForceFilingCode:false","")</f>
        <v/>
      </c>
    </row>
    <row r="757" spans="1:2">
      <c r="A757" t="str">
        <f>IF(AND(LEFT('S.01.01.07'!$D$66,8)&lt;&gt;"Reported",'S.01.01.07'!$D$66&lt;&gt;""),Show!$B$6 &amp; "S.27.01.01.05 Rows{Z}@ForceFilingCode:false","")</f>
        <v/>
      </c>
      <c r="B757" t="str">
        <f>IF(AND(LEFT('S.01.01.07'!$D$66,8)&lt;&gt;"Reported",'S.01.01.07'!$D$66&lt;&gt;""),Show!$B$6&amp; Show!$B$6&amp;"S.27.01.01.05 Rows{Z}@ForceFilingCode:false","")</f>
        <v/>
      </c>
    </row>
    <row r="758" spans="1:2">
      <c r="A758" t="str">
        <f>IF(AND(LEFT('S.01.01.07'!$D$66,8)&lt;&gt;"Reported",'S.01.01.07'!$D$66&lt;&gt;""),Show!$B$6 &amp; "S.27.01.01.06 Rows{Z}@ForceFilingCode:false","")</f>
        <v/>
      </c>
      <c r="B758" t="str">
        <f>IF(AND(LEFT('S.01.01.07'!$D$66,8)&lt;&gt;"Reported",'S.01.01.07'!$D$66&lt;&gt;""),Show!$B$6&amp; Show!$B$6&amp;"S.27.01.01.06 Rows{Z}@ForceFilingCode:false","")</f>
        <v/>
      </c>
    </row>
    <row r="759" spans="1:2">
      <c r="A759" t="str">
        <f>IF(AND(LEFT('S.01.01.07'!$D$66,8)&lt;&gt;"Reported",'S.01.01.07'!$D$66&lt;&gt;""),Show!$B$6 &amp; "S.27.01.01.07 Rows{Z}@ForceFilingCode:false","")</f>
        <v/>
      </c>
      <c r="B759" t="str">
        <f>IF(AND(LEFT('S.01.01.07'!$D$66,8)&lt;&gt;"Reported",'S.01.01.07'!$D$66&lt;&gt;""),Show!$B$6&amp; Show!$B$6&amp;"S.27.01.01.07 Rows{Z}@ForceFilingCode:false","")</f>
        <v/>
      </c>
    </row>
    <row r="760" spans="1:2">
      <c r="A760" t="str">
        <f>IF(AND(LEFT('S.01.01.07'!$D$66,8)&lt;&gt;"Reported",'S.01.01.07'!$D$66&lt;&gt;""),Show!$B$6 &amp; "S.27.01.01.08 Rows{Z}@ForceFilingCode:false","")</f>
        <v/>
      </c>
      <c r="B760" t="str">
        <f>IF(AND(LEFT('S.01.01.07'!$D$66,8)&lt;&gt;"Reported",'S.01.01.07'!$D$66&lt;&gt;""),Show!$B$6&amp; Show!$B$6&amp;"S.27.01.01.08 Rows{Z}@ForceFilingCode:false","")</f>
        <v/>
      </c>
    </row>
    <row r="761" spans="1:2">
      <c r="A761" t="str">
        <f>IF(AND(LEFT('S.01.01.07'!$D$66,8)&lt;&gt;"Reported",'S.01.01.07'!$D$66&lt;&gt;""),Show!$B$6 &amp; "S.27.01.01.09 Rows{Z}@ForceFilingCode:false","")</f>
        <v/>
      </c>
      <c r="B761" t="str">
        <f>IF(AND(LEFT('S.01.01.07'!$D$66,8)&lt;&gt;"Reported",'S.01.01.07'!$D$66&lt;&gt;""),Show!$B$6&amp; Show!$B$6&amp;"S.27.01.01.09 Rows{Z}@ForceFilingCode:false","")</f>
        <v/>
      </c>
    </row>
    <row r="762" spans="1:2">
      <c r="A762" t="str">
        <f>IF(AND(LEFT('S.01.01.07'!$D$66,8)&lt;&gt;"Reported",'S.01.01.07'!$D$66&lt;&gt;""),Show!$B$6 &amp; "S.27.01.01.10 Rows{Z}@ForceFilingCode:false","")</f>
        <v/>
      </c>
      <c r="B762" t="str">
        <f>IF(AND(LEFT('S.01.01.07'!$D$66,8)&lt;&gt;"Reported",'S.01.01.07'!$D$66&lt;&gt;""),Show!$B$6&amp; Show!$B$6&amp;"S.27.01.01.10 Rows{Z}@ForceFilingCode:false","")</f>
        <v/>
      </c>
    </row>
    <row r="763" spans="1:2">
      <c r="A763" t="str">
        <f>IF(AND(LEFT('S.01.01.07'!$D$66,8)&lt;&gt;"Reported",'S.01.01.07'!$D$66&lt;&gt;""),Show!$B$6 &amp; "S.27.01.01.11 Rows{Z}@ForceFilingCode:false","")</f>
        <v/>
      </c>
      <c r="B763" t="str">
        <f>IF(AND(LEFT('S.01.01.07'!$D$66,8)&lt;&gt;"Reported",'S.01.01.07'!$D$66&lt;&gt;""),Show!$B$6&amp; Show!$B$6&amp;"S.27.01.01.11 Rows{Z}@ForceFilingCode:false","")</f>
        <v/>
      </c>
    </row>
    <row r="764" spans="1:2">
      <c r="A764" t="str">
        <f>IF(AND(LEFT('S.01.01.07'!$D$66,8)&lt;&gt;"Reported",'S.01.01.07'!$D$66&lt;&gt;""),Show!$B$6 &amp; "S.27.01.01.12 Rows{Z}@ForceFilingCode:false","")</f>
        <v/>
      </c>
      <c r="B764" t="str">
        <f>IF(AND(LEFT('S.01.01.07'!$D$66,8)&lt;&gt;"Reported",'S.01.01.07'!$D$66&lt;&gt;""),Show!$B$6&amp; Show!$B$6&amp;"S.27.01.01.12 Rows{Z}@ForceFilingCode:false","")</f>
        <v/>
      </c>
    </row>
    <row r="765" spans="1:2">
      <c r="A765" t="str">
        <f>IF(AND(LEFT('S.01.01.07'!$D$66,8)&lt;&gt;"Reported",'S.01.01.07'!$D$66&lt;&gt;""),Show!$B$6 &amp; "S.27.01.01.13 Rows{Z}@ForceFilingCode:false","")</f>
        <v/>
      </c>
      <c r="B765" t="str">
        <f>IF(AND(LEFT('S.01.01.07'!$D$66,8)&lt;&gt;"Reported",'S.01.01.07'!$D$66&lt;&gt;""),Show!$B$6&amp; Show!$B$6&amp;"S.27.01.01.13 Rows{Z}@ForceFilingCode:false","")</f>
        <v/>
      </c>
    </row>
    <row r="766" spans="1:2">
      <c r="A766" t="str">
        <f>IF(AND(LEFT('S.01.01.07'!$D$66,8)&lt;&gt;"Reported",'S.01.01.07'!$D$66&lt;&gt;""),Show!$B$6 &amp; "S.27.01.01.14 Rows{Z}@ForceFilingCode:false","")</f>
        <v/>
      </c>
      <c r="B766" t="str">
        <f>IF(AND(LEFT('S.01.01.07'!$D$66,8)&lt;&gt;"Reported",'S.01.01.07'!$D$66&lt;&gt;""),Show!$B$6&amp; Show!$B$6&amp;"S.27.01.01.14 Rows{Z}@ForceFilingCode:false","")</f>
        <v/>
      </c>
    </row>
    <row r="767" spans="1:2">
      <c r="A767" t="str">
        <f>IF(AND(LEFT('S.01.01.07'!$D$66,8)&lt;&gt;"Reported",'S.01.01.07'!$D$66&lt;&gt;""),Show!$B$6 &amp; "S.27.01.01.15 Rows{Z}@ForceFilingCode:false","")</f>
        <v/>
      </c>
      <c r="B767" t="str">
        <f>IF(AND(LEFT('S.01.01.07'!$D$66,8)&lt;&gt;"Reported",'S.01.01.07'!$D$66&lt;&gt;""),Show!$B$6&amp; Show!$B$6&amp;"S.27.01.01.15 Rows{Z}@ForceFilingCode:false","")</f>
        <v/>
      </c>
    </row>
    <row r="768" spans="1:2">
      <c r="A768" t="str">
        <f>IF(AND(LEFT('S.01.01.07'!$D$66,8)&lt;&gt;"Reported",'S.01.01.07'!$D$66&lt;&gt;""),Show!$B$6 &amp; "S.27.01.01.16 Rows{Z}@ForceFilingCode:false","")</f>
        <v/>
      </c>
      <c r="B768" t="str">
        <f>IF(AND(LEFT('S.01.01.07'!$D$66,8)&lt;&gt;"Reported",'S.01.01.07'!$D$66&lt;&gt;""),Show!$B$6&amp; Show!$B$6&amp;"S.27.01.01.16 Rows{Z}@ForceFilingCode:false","")</f>
        <v/>
      </c>
    </row>
    <row r="769" spans="1:2">
      <c r="A769" t="str">
        <f>IF(AND(LEFT('S.01.01.07'!$D$66,8)&lt;&gt;"Reported",'S.01.01.07'!$D$66&lt;&gt;""),Show!$B$6 &amp; "S.27.01.01.17 Rows{Z}@ForceFilingCode:false","")</f>
        <v/>
      </c>
      <c r="B769" t="str">
        <f>IF(AND(LEFT('S.01.01.07'!$D$66,8)&lt;&gt;"Reported",'S.01.01.07'!$D$66&lt;&gt;""),Show!$B$6&amp; Show!$B$6&amp;"S.27.01.01.17 Rows{Z}@ForceFilingCode:false","")</f>
        <v/>
      </c>
    </row>
    <row r="770" spans="1:2">
      <c r="A770" t="str">
        <f>IF(AND(LEFT('S.01.01.07'!$D$66,8)&lt;&gt;"Reported",'S.01.01.07'!$D$66&lt;&gt;""),Show!$B$6 &amp; "S.27.01.01.18 Rows{Z}@ForceFilingCode:false","")</f>
        <v/>
      </c>
      <c r="B770" t="str">
        <f>IF(AND(LEFT('S.01.01.07'!$D$66,8)&lt;&gt;"Reported",'S.01.01.07'!$D$66&lt;&gt;""),Show!$B$6&amp; Show!$B$6&amp;"S.27.01.01.18 Rows{Z}@ForceFilingCode:false","")</f>
        <v/>
      </c>
    </row>
    <row r="771" spans="1:2">
      <c r="A771" t="str">
        <f>IF(AND(LEFT('S.01.01.07'!$D$66,8)&lt;&gt;"Reported",'S.01.01.07'!$D$66&lt;&gt;""),Show!$B$6 &amp; "S.27.01.01.19 Rows{Z}@ForceFilingCode:false","")</f>
        <v/>
      </c>
      <c r="B771" t="str">
        <f>IF(AND(LEFT('S.01.01.07'!$D$66,8)&lt;&gt;"Reported",'S.01.01.07'!$D$66&lt;&gt;""),Show!$B$6&amp; Show!$B$6&amp;"S.27.01.01.19 Rows{Z}@ForceFilingCode:false","")</f>
        <v/>
      </c>
    </row>
    <row r="772" spans="1:2">
      <c r="A772" t="str">
        <f>IF(AND(LEFT('S.01.01.07'!$D$66,8)&lt;&gt;"Reported",'S.01.01.07'!$D$66&lt;&gt;""),Show!$B$6 &amp; "S.27.01.01.20 Rows{Z}@ForceFilingCode:false","")</f>
        <v/>
      </c>
      <c r="B772" t="str">
        <f>IF(AND(LEFT('S.01.01.07'!$D$66,8)&lt;&gt;"Reported",'S.01.01.07'!$D$66&lt;&gt;""),Show!$B$6&amp; Show!$B$6&amp;"S.27.01.01.20 Rows{Z}@ForceFilingCode:false","")</f>
        <v/>
      </c>
    </row>
    <row r="773" spans="1:2">
      <c r="A773" t="str">
        <f>IF(AND(LEFT('S.01.01.07'!$D$66,8)&lt;&gt;"Reported",'S.01.01.07'!$D$66&lt;&gt;""),Show!$B$6 &amp; "S.27.01.01.21 Rows{Z}@ForceFilingCode:false","")</f>
        <v/>
      </c>
      <c r="B773" t="str">
        <f>IF(AND(LEFT('S.01.01.07'!$D$66,8)&lt;&gt;"Reported",'S.01.01.07'!$D$66&lt;&gt;""),Show!$B$6&amp; Show!$B$6&amp;"S.27.01.01.21 Rows{Z}@ForceFilingCode:false","")</f>
        <v/>
      </c>
    </row>
    <row r="774" spans="1:2">
      <c r="A774" t="str">
        <f>IF(AND(LEFT('S.01.01.07'!$D$66,8)&lt;&gt;"Reported",'S.01.01.07'!$D$66&lt;&gt;""),Show!$B$6 &amp; "S.27.01.01.22 Rows{Z}@ForceFilingCode:false","")</f>
        <v/>
      </c>
      <c r="B774" t="str">
        <f>IF(AND(LEFT('S.01.01.07'!$D$66,8)&lt;&gt;"Reported",'S.01.01.07'!$D$66&lt;&gt;""),Show!$B$6&amp; Show!$B$6&amp;"S.27.01.01.22 Rows{Z}@ForceFilingCode:false","")</f>
        <v/>
      </c>
    </row>
    <row r="775" spans="1:2">
      <c r="A775" t="str">
        <f>IF(AND(LEFT('S.01.01.07'!$D$66,8)&lt;&gt;"Reported",'S.01.01.07'!$D$66&lt;&gt;""),Show!$B$6 &amp; "S.27.01.01.23 Rows{Z}@ForceFilingCode:false","")</f>
        <v/>
      </c>
      <c r="B775" t="str">
        <f>IF(AND(LEFT('S.01.01.07'!$D$66,8)&lt;&gt;"Reported",'S.01.01.07'!$D$66&lt;&gt;""),Show!$B$6&amp; Show!$B$6&amp;"S.27.01.01.23 Rows{Z}@ForceFilingCode:false","")</f>
        <v/>
      </c>
    </row>
    <row r="776" spans="1:2">
      <c r="A776" t="str">
        <f>IF(AND(LEFT('S.01.01.07'!$D$66,8)&lt;&gt;"Reported",'S.01.01.07'!$D$66&lt;&gt;""),Show!$B$6 &amp; "S.27.01.01.24 Rows{Z}@ForceFilingCode:false","")</f>
        <v/>
      </c>
      <c r="B776" t="str">
        <f>IF(AND(LEFT('S.01.01.07'!$D$66,8)&lt;&gt;"Reported",'S.01.01.07'!$D$66&lt;&gt;""),Show!$B$6&amp; Show!$B$6&amp;"S.27.01.01.24 Rows{Z}@ForceFilingCode:false","")</f>
        <v/>
      </c>
    </row>
    <row r="777" spans="1:2">
      <c r="A777" t="str">
        <f>IF(AND(LEFT('S.01.01.07'!$D$66,8)&lt;&gt;"Reported",'S.01.01.07'!$D$66&lt;&gt;""),Show!$B$6 &amp; "S.27.01.01.25 Rows{Z}@ForceFilingCode:false","")</f>
        <v/>
      </c>
      <c r="B777" t="str">
        <f>IF(AND(LEFT('S.01.01.07'!$D$66,8)&lt;&gt;"Reported",'S.01.01.07'!$D$66&lt;&gt;""),Show!$B$6&amp; Show!$B$6&amp;"S.27.01.01.25 Rows{Z}@ForceFilingCode:false","")</f>
        <v/>
      </c>
    </row>
    <row r="778" spans="1:2">
      <c r="A778" t="str">
        <f>IF(AND(LEFT('S.01.01.07'!$D$66,8)&lt;&gt;"Reported",'S.01.01.07'!$D$66&lt;&gt;""),Show!$B$6 &amp; "S.27.01.01.26 Rows{Z}@ForceFilingCode:false","")</f>
        <v/>
      </c>
      <c r="B778" t="str">
        <f>IF(AND(LEFT('S.01.01.07'!$D$66,8)&lt;&gt;"Reported",'S.01.01.07'!$D$66&lt;&gt;""),Show!$B$6&amp; Show!$B$6&amp;"S.27.01.01.26 Rows{Z}@ForceFilingCode:false","")</f>
        <v/>
      </c>
    </row>
    <row r="779" spans="1:2">
      <c r="A779" t="str">
        <f>IF(AND(LEFT('S.01.01.07'!$D$66,8)&lt;&gt;"Reported",'S.01.01.07'!$D$66&lt;&gt;""),Show!$B$6 &amp; "S.27.01.01.27 Rows{Z}@ForceFilingCode:false","")</f>
        <v/>
      </c>
      <c r="B779" t="str">
        <f>IF(AND(LEFT('S.01.01.07'!$D$66,8)&lt;&gt;"Reported",'S.01.01.07'!$D$66&lt;&gt;""),Show!$B$6&amp; Show!$B$6&amp;"S.27.01.01.27 Rows{Z}@ForceFilingCode:false","")</f>
        <v/>
      </c>
    </row>
    <row r="780" spans="1:2">
      <c r="A780" t="str">
        <f>IF(AND(LEFT('S.01.01.07'!$D$66,8)&lt;&gt;"Reported",'S.01.01.07'!$D$66&lt;&gt;""),Show!$B$6 &amp; "S.27.01.01.28 Rows{Z}@ForceFilingCode:false","")</f>
        <v/>
      </c>
      <c r="B780" t="str">
        <f>IF(AND(LEFT('S.01.01.07'!$D$66,8)&lt;&gt;"Reported",'S.01.01.07'!$D$66&lt;&gt;""),Show!$B$6&amp; Show!$B$6&amp;"S.27.01.01.28 Rows{Z}@ForceFilingCode:false","")</f>
        <v/>
      </c>
    </row>
    <row r="781" spans="1:2">
      <c r="A781" t="str">
        <f>IF(AND(LEFT('S.01.01.07'!$D$67,8)&lt;&gt;"Reported",'S.01.01.07'!$D$67&lt;&gt;""),Show!$B$6 &amp; "S.28.01.01.01 Rows{Z}@ForceFilingCode:false","")</f>
        <v/>
      </c>
      <c r="B781" t="str">
        <f>IF(AND(LEFT('S.01.01.07'!$D$67,8)&lt;&gt;"Reported",'S.01.01.07'!$D$67&lt;&gt;""),Show!$B$6&amp; Show!$B$6&amp;"S.28.01.01.01 Rows{Z}@ForceFilingCode:false","")</f>
        <v/>
      </c>
    </row>
    <row r="782" spans="1:2">
      <c r="A782" t="str">
        <f>IF(AND(LEFT('S.01.01.07'!$D$67,8)&lt;&gt;"Reported",'S.01.01.07'!$D$67&lt;&gt;""),Show!$B$6 &amp; "S.28.01.01.02 Rows{Z}@ForceFilingCode:false","")</f>
        <v/>
      </c>
      <c r="B782" t="str">
        <f>IF(AND(LEFT('S.01.01.07'!$D$67,8)&lt;&gt;"Reported",'S.01.01.07'!$D$67&lt;&gt;""),Show!$B$6&amp; Show!$B$6&amp;"S.28.01.01.02 Rows{Z}@ForceFilingCode:false","")</f>
        <v/>
      </c>
    </row>
    <row r="783" spans="1:2">
      <c r="A783" t="str">
        <f>IF(AND(LEFT('S.01.01.07'!$D$67,8)&lt;&gt;"Reported",'S.01.01.07'!$D$67&lt;&gt;""),Show!$B$6 &amp; "S.28.01.01.03 Rows{Z}@ForceFilingCode:false","")</f>
        <v/>
      </c>
      <c r="B783" t="str">
        <f>IF(AND(LEFT('S.01.01.07'!$D$67,8)&lt;&gt;"Reported",'S.01.01.07'!$D$67&lt;&gt;""),Show!$B$6&amp; Show!$B$6&amp;"S.28.01.01.03 Rows{Z}@ForceFilingCode:false","")</f>
        <v/>
      </c>
    </row>
    <row r="784" spans="1:2">
      <c r="A784" t="str">
        <f>IF(AND(LEFT('S.01.01.07'!$D$67,8)&lt;&gt;"Reported",'S.01.01.07'!$D$67&lt;&gt;""),Show!$B$6 &amp; "S.28.01.01.04 Rows{Z}@ForceFilingCode:false","")</f>
        <v/>
      </c>
      <c r="B784" t="str">
        <f>IF(AND(LEFT('S.01.01.07'!$D$67,8)&lt;&gt;"Reported",'S.01.01.07'!$D$67&lt;&gt;""),Show!$B$6&amp; Show!$B$6&amp;"S.28.01.01.04 Rows{Z}@ForceFilingCode:false","")</f>
        <v/>
      </c>
    </row>
    <row r="785" spans="1:2">
      <c r="A785" t="str">
        <f>IF(AND(LEFT('S.01.01.07'!$D$67,8)&lt;&gt;"Reported",'S.01.01.07'!$D$67&lt;&gt;""),Show!$B$6 &amp; "S.28.01.01.05 Rows{Z}@ForceFilingCode:false","")</f>
        <v/>
      </c>
      <c r="B785" t="str">
        <f>IF(AND(LEFT('S.01.01.07'!$D$67,8)&lt;&gt;"Reported",'S.01.01.07'!$D$67&lt;&gt;""),Show!$B$6&amp; Show!$B$6&amp;"S.28.01.01.05 Rows{Z}@ForceFilingCode:false","")</f>
        <v/>
      </c>
    </row>
    <row r="786" spans="1:2">
      <c r="A786" t="str">
        <f>IF(AND(LEFT('S.01.01.07'!$D$68,8)&lt;&gt;"Reported",'S.01.01.07'!$D$68&lt;&gt;""),Show!$B$6 &amp; "S.28.02.01.01 Rows{Z}@ForceFilingCode:false","")</f>
        <v/>
      </c>
      <c r="B786" t="str">
        <f>IF(AND(LEFT('S.01.01.07'!$D$68,8)&lt;&gt;"Reported",'S.01.01.07'!$D$68&lt;&gt;""),Show!$B$6&amp; Show!$B$6&amp;"S.28.02.01.01 Rows{Z}@ForceFilingCode:false","")</f>
        <v/>
      </c>
    </row>
    <row r="787" spans="1:2">
      <c r="A787" t="str">
        <f>IF(AND(LEFT('S.01.01.07'!$D$68,8)&lt;&gt;"Reported",'S.01.01.07'!$D$68&lt;&gt;""),Show!$B$6 &amp; "S.28.02.01.02 Rows{Z}@ForceFilingCode:false","")</f>
        <v/>
      </c>
      <c r="B787" t="str">
        <f>IF(AND(LEFT('S.01.01.07'!$D$68,8)&lt;&gt;"Reported",'S.01.01.07'!$D$68&lt;&gt;""),Show!$B$6&amp; Show!$B$6&amp;"S.28.02.01.02 Rows{Z}@ForceFilingCode:false","")</f>
        <v/>
      </c>
    </row>
    <row r="788" spans="1:2">
      <c r="A788" t="str">
        <f>IF(AND(LEFT('S.01.01.07'!$D$68,8)&lt;&gt;"Reported",'S.01.01.07'!$D$68&lt;&gt;""),Show!$B$6 &amp; "S.28.02.01.03 Rows{Z}@ForceFilingCode:false","")</f>
        <v/>
      </c>
      <c r="B788" t="str">
        <f>IF(AND(LEFT('S.01.01.07'!$D$68,8)&lt;&gt;"Reported",'S.01.01.07'!$D$68&lt;&gt;""),Show!$B$6&amp; Show!$B$6&amp;"S.28.02.01.03 Rows{Z}@ForceFilingCode:false","")</f>
        <v/>
      </c>
    </row>
    <row r="789" spans="1:2">
      <c r="A789" t="str">
        <f>IF(AND(LEFT('S.01.01.07'!$D$68,8)&lt;&gt;"Reported",'S.01.01.07'!$D$68&lt;&gt;""),Show!$B$6 &amp; "S.28.02.01.04 Rows{Z}@ForceFilingCode:false","")</f>
        <v/>
      </c>
      <c r="B789" t="str">
        <f>IF(AND(LEFT('S.01.01.07'!$D$68,8)&lt;&gt;"Reported",'S.01.01.07'!$D$68&lt;&gt;""),Show!$B$6&amp; Show!$B$6&amp;"S.28.02.01.04 Rows{Z}@ForceFilingCode:false","")</f>
        <v/>
      </c>
    </row>
    <row r="790" spans="1:2">
      <c r="A790" t="str">
        <f>IF(AND(LEFT('S.01.01.07'!$D$68,8)&lt;&gt;"Reported",'S.01.01.07'!$D$68&lt;&gt;""),Show!$B$6 &amp; "S.28.02.01.05 Rows{Z}@ForceFilingCode:false","")</f>
        <v/>
      </c>
      <c r="B790" t="str">
        <f>IF(AND(LEFT('S.01.01.07'!$D$68,8)&lt;&gt;"Reported",'S.01.01.07'!$D$68&lt;&gt;""),Show!$B$6&amp; Show!$B$6&amp;"S.28.02.01.05 Rows{Z}@ForceFilingCode:false","")</f>
        <v/>
      </c>
    </row>
    <row r="791" spans="1:2">
      <c r="A791" t="str">
        <f>IF(AND(LEFT('S.01.01.07'!$D$68,8)&lt;&gt;"Reported",'S.01.01.07'!$D$68&lt;&gt;""),Show!$B$6 &amp; "S.28.02.01.06 Rows{Z}@ForceFilingCode:false","")</f>
        <v/>
      </c>
      <c r="B791" t="str">
        <f>IF(AND(LEFT('S.01.01.07'!$D$68,8)&lt;&gt;"Reported",'S.01.01.07'!$D$68&lt;&gt;""),Show!$B$6&amp; Show!$B$6&amp;"S.28.02.01.06 Rows{Z}@ForceFilingCode:false","")</f>
        <v/>
      </c>
    </row>
    <row r="792" spans="1:2">
      <c r="A792" t="str">
        <f>IF(AND(LEFT('S.01.01.07'!$D$69,8)&lt;&gt;"Reported",'S.01.01.07'!$D$69&lt;&gt;""),Show!$B$6 &amp; "S.29.01.07.01 Rows{Z}@ForceFilingCode:false","")</f>
        <v/>
      </c>
      <c r="B792" t="str">
        <f>IF(AND(LEFT('S.01.01.07'!$D$69,8)&lt;&gt;"Reported",'S.01.01.07'!$D$69&lt;&gt;""),Show!$B$6&amp; Show!$B$6&amp;"S.29.01.07.01 Rows{Z}@ForceFilingCode:false","")</f>
        <v/>
      </c>
    </row>
    <row r="793" spans="1:2">
      <c r="A793" t="str">
        <f>IF(AND(LEFT('S.01.01.07'!$D$70,8)&lt;&gt;"Reported",'S.01.01.07'!$D$70&lt;&gt;""),Show!$B$6 &amp; "S.29.02.01.01 Rows{Z}@ForceFilingCode:false","")</f>
        <v/>
      </c>
      <c r="B793" t="str">
        <f>IF(AND(LEFT('S.01.01.07'!$D$70,8)&lt;&gt;"Reported",'S.01.01.07'!$D$70&lt;&gt;""),Show!$B$6&amp; Show!$B$6&amp;"S.29.02.01.01 Rows{Z}@ForceFilingCode:false","")</f>
        <v/>
      </c>
    </row>
    <row r="794" spans="1:2">
      <c r="A794" t="str">
        <f>IF(AND(LEFT('S.01.01.07'!$D$71,8)&lt;&gt;"Reported",'S.01.01.07'!$D$71&lt;&gt;""),Show!$B$6 &amp; "S.29.03.01.01 Rows{Z}@ForceFilingCode:false","")</f>
        <v/>
      </c>
      <c r="B794" t="str">
        <f>IF(AND(LEFT('S.01.01.07'!$D$71,8)&lt;&gt;"Reported",'S.01.01.07'!$D$71&lt;&gt;""),Show!$B$6&amp; Show!$B$6&amp;"S.29.03.01.01 Rows{Z}@ForceFilingCode:false","")</f>
        <v/>
      </c>
    </row>
    <row r="795" spans="1:2">
      <c r="A795" t="str">
        <f>IF(AND(LEFT('S.01.01.07'!$D$71,8)&lt;&gt;"Reported",'S.01.01.07'!$D$71&lt;&gt;""),Show!$B$6 &amp; "S.29.03.01.02 Rows{Z}@ForceFilingCode:false","")</f>
        <v/>
      </c>
      <c r="B795" t="str">
        <f>IF(AND(LEFT('S.01.01.07'!$D$71,8)&lt;&gt;"Reported",'S.01.01.07'!$D$71&lt;&gt;""),Show!$B$6&amp; Show!$B$6&amp;"S.29.03.01.02 Rows{Z}@ForceFilingCode:false","")</f>
        <v/>
      </c>
    </row>
    <row r="796" spans="1:2">
      <c r="A796" t="str">
        <f>IF(AND(LEFT('S.01.01.07'!$D$71,8)&lt;&gt;"Reported",'S.01.01.07'!$D$71&lt;&gt;""),Show!$B$6 &amp; "S.29.03.01.03 Rows{Z}@ForceFilingCode:false","")</f>
        <v/>
      </c>
      <c r="B796" t="str">
        <f>IF(AND(LEFT('S.01.01.07'!$D$71,8)&lt;&gt;"Reported",'S.01.01.07'!$D$71&lt;&gt;""),Show!$B$6&amp; Show!$B$6&amp;"S.29.03.01.03 Rows{Z}@ForceFilingCode:false","")</f>
        <v/>
      </c>
    </row>
    <row r="797" spans="1:2">
      <c r="A797" t="str">
        <f>IF(AND(LEFT('S.01.01.07'!$D$71,8)&lt;&gt;"Reported",'S.01.01.07'!$D$71&lt;&gt;""),Show!$B$6 &amp; "S.29.03.01.04 Rows{Z}@ForceFilingCode:false","")</f>
        <v/>
      </c>
      <c r="B797" t="str">
        <f>IF(AND(LEFT('S.01.01.07'!$D$71,8)&lt;&gt;"Reported",'S.01.01.07'!$D$71&lt;&gt;""),Show!$B$6&amp; Show!$B$6&amp;"S.29.03.01.04 Rows{Z}@ForceFilingCode:false","")</f>
        <v/>
      </c>
    </row>
    <row r="798" spans="1:2">
      <c r="A798" t="str">
        <f>IF(AND(LEFT('S.01.01.07'!$D$71,8)&lt;&gt;"Reported",'S.01.01.07'!$D$71&lt;&gt;""),Show!$B$6 &amp; "S.29.03.01.05 Rows{Z}@ForceFilingCode:false","")</f>
        <v/>
      </c>
      <c r="B798" t="str">
        <f>IF(AND(LEFT('S.01.01.07'!$D$71,8)&lt;&gt;"Reported",'S.01.01.07'!$D$71&lt;&gt;""),Show!$B$6&amp; Show!$B$6&amp;"S.29.03.01.05 Rows{Z}@ForceFilingCode:false","")</f>
        <v/>
      </c>
    </row>
    <row r="799" spans="1:2">
      <c r="A799" t="str">
        <f>IF(AND(LEFT('S.01.01.07'!$D$71,8)&lt;&gt;"Reported",'S.01.01.07'!$D$71&lt;&gt;""),Show!$B$6 &amp; "S.29.03.01.06 Rows{Z}@ForceFilingCode:false","")</f>
        <v/>
      </c>
      <c r="B799" t="str">
        <f>IF(AND(LEFT('S.01.01.07'!$D$71,8)&lt;&gt;"Reported",'S.01.01.07'!$D$71&lt;&gt;""),Show!$B$6&amp; Show!$B$6&amp;"S.29.03.01.06 Rows{Z}@ForceFilingCode:false","")</f>
        <v/>
      </c>
    </row>
    <row r="800" spans="1:2">
      <c r="A800" t="str">
        <f>IF(AND(LEFT('S.01.01.07'!$D$71,8)&lt;&gt;"Reported",'S.01.01.07'!$D$71&lt;&gt;""),Show!$B$6 &amp; "S.29.03.01.07 Rows{Z}@ForceFilingCode:false","")</f>
        <v/>
      </c>
      <c r="B800" t="str">
        <f>IF(AND(LEFT('S.01.01.07'!$D$71,8)&lt;&gt;"Reported",'S.01.01.07'!$D$71&lt;&gt;""),Show!$B$6&amp; Show!$B$6&amp;"S.29.03.01.07 Rows{Z}@ForceFilingCode:false","")</f>
        <v/>
      </c>
    </row>
    <row r="801" spans="1:2">
      <c r="A801" t="str">
        <f>IF(AND(LEFT('S.01.01.07'!$D$72,8)&lt;&gt;"Reported",'S.01.01.07'!$D$72&lt;&gt;""),Show!$B$6 &amp; "S.29.04.01.01 Rows{Z}@ForceFilingCode:false","")</f>
        <v/>
      </c>
      <c r="B801" t="str">
        <f>IF(AND(LEFT('S.01.01.07'!$D$72,8)&lt;&gt;"Reported",'S.01.01.07'!$D$72&lt;&gt;""),Show!$B$6&amp; Show!$B$6&amp;"S.29.04.01.01 Rows{Z}@ForceFilingCode:false","")</f>
        <v/>
      </c>
    </row>
    <row r="802" spans="1:2">
      <c r="A802" t="str">
        <f>IF(AND(LEFT('S.01.01.07'!$D$72,8)&lt;&gt;"Reported",'S.01.01.07'!$D$72&lt;&gt;""),Show!$B$6 &amp; "S.29.04.01.02 Rows{Z}@ForceFilingCode:false","")</f>
        <v/>
      </c>
      <c r="B802" t="str">
        <f>IF(AND(LEFT('S.01.01.07'!$D$72,8)&lt;&gt;"Reported",'S.01.01.07'!$D$72&lt;&gt;""),Show!$B$6&amp; Show!$B$6&amp;"S.29.04.01.02 Rows{Z}@ForceFilingCode:false","")</f>
        <v/>
      </c>
    </row>
    <row r="803" spans="1:2">
      <c r="A803" t="str">
        <f>IF(AND(LEFT('S.01.01.07'!$D$73,8)&lt;&gt;"Reported",'S.01.01.07'!$D$73&lt;&gt;""),Show!$B$6 &amp; "S.30.01.01.01 Rows{Z}@ForceFilingCode:false","")</f>
        <v/>
      </c>
      <c r="B803" t="str">
        <f>IF(AND(LEFT('S.01.01.07'!$D$73,8)&lt;&gt;"Reported",'S.01.01.07'!$D$73&lt;&gt;""),Show!$B$6&amp; Show!$B$6&amp;"S.30.01.01.01 Rows{Z}@ForceFilingCode:false","")</f>
        <v/>
      </c>
    </row>
    <row r="804" spans="1:2">
      <c r="A804" t="str">
        <f>IF(AND(LEFT('S.01.01.07'!$D$73,8)&lt;&gt;"Reported",'S.01.01.07'!$D$73&lt;&gt;""),Show!$B$6 &amp; "S.30.01.01.02 Rows{Z}@ForceFilingCode:false","")</f>
        <v/>
      </c>
      <c r="B804" t="str">
        <f>IF(AND(LEFT('S.01.01.07'!$D$73,8)&lt;&gt;"Reported",'S.01.01.07'!$D$73&lt;&gt;""),Show!$B$6&amp; Show!$B$6&amp;"S.30.01.01.02 Rows{Z}@ForceFilingCode:false","")</f>
        <v/>
      </c>
    </row>
    <row r="805" spans="1:2">
      <c r="A805" t="str">
        <f>IF(AND(LEFT('S.01.01.07'!$D$74,8)&lt;&gt;"Reported",'S.01.01.07'!$D$74&lt;&gt;""),Show!$B$6 &amp; "S.30.02.01.01 Rows{Z}@ForceFilingCode:false","")</f>
        <v/>
      </c>
      <c r="B805" t="str">
        <f>IF(AND(LEFT('S.01.01.07'!$D$74,8)&lt;&gt;"Reported",'S.01.01.07'!$D$74&lt;&gt;""),Show!$B$6&amp; Show!$B$6&amp;"S.30.02.01.01 Rows{Z}@ForceFilingCode:false","")</f>
        <v/>
      </c>
    </row>
    <row r="806" spans="1:2">
      <c r="A806" t="str">
        <f>IF(AND(LEFT('S.01.01.07'!$D$74,8)&lt;&gt;"Reported",'S.01.01.07'!$D$74&lt;&gt;""),Show!$B$6 &amp; "S.30.02.01.02 Rows{Z}@ForceFilingCode:false","")</f>
        <v/>
      </c>
      <c r="B806" t="str">
        <f>IF(AND(LEFT('S.01.01.07'!$D$74,8)&lt;&gt;"Reported",'S.01.01.07'!$D$74&lt;&gt;""),Show!$B$6&amp; Show!$B$6&amp;"S.30.02.01.02 Rows{Z}@ForceFilingCode:false","")</f>
        <v/>
      </c>
    </row>
    <row r="807" spans="1:2">
      <c r="A807" t="str">
        <f>IF(AND(LEFT('S.01.01.07'!$D$74,8)&lt;&gt;"Reported",'S.01.01.07'!$D$74&lt;&gt;""),Show!$B$6 &amp; "S.30.02.01.03 Rows{Z}@ForceFilingCode:false","")</f>
        <v/>
      </c>
      <c r="B807" t="str">
        <f>IF(AND(LEFT('S.01.01.07'!$D$74,8)&lt;&gt;"Reported",'S.01.01.07'!$D$74&lt;&gt;""),Show!$B$6&amp; Show!$B$6&amp;"S.30.02.01.03 Rows{Z}@ForceFilingCode:false","")</f>
        <v/>
      </c>
    </row>
    <row r="808" spans="1:2">
      <c r="A808" t="str">
        <f>IF(AND(LEFT('S.01.01.07'!$D$74,8)&lt;&gt;"Reported",'S.01.01.07'!$D$74&lt;&gt;""),Show!$B$6 &amp; "S.30.02.01.04 Rows{Z}@ForceFilingCode:false","")</f>
        <v/>
      </c>
      <c r="B808" t="str">
        <f>IF(AND(LEFT('S.01.01.07'!$D$74,8)&lt;&gt;"Reported",'S.01.01.07'!$D$74&lt;&gt;""),Show!$B$6&amp; Show!$B$6&amp;"S.30.02.01.04 Rows{Z}@ForceFilingCode:false","")</f>
        <v/>
      </c>
    </row>
    <row r="809" spans="1:2">
      <c r="A809" t="str">
        <f>IF(AND(LEFT('S.01.01.07'!$D$75,8)&lt;&gt;"Reported",'S.01.01.07'!$D$75&lt;&gt;""),Show!$B$6 &amp; "S.30.03.01.01 Rows{Z}@ForceFilingCode:false","")</f>
        <v/>
      </c>
      <c r="B809" t="str">
        <f>IF(AND(LEFT('S.01.01.07'!$D$75,8)&lt;&gt;"Reported",'S.01.01.07'!$D$75&lt;&gt;""),Show!$B$6&amp; Show!$B$6&amp;"S.30.03.01.01 Rows{Z}@ForceFilingCode:false","")</f>
        <v/>
      </c>
    </row>
    <row r="810" spans="1:2">
      <c r="A810" t="str">
        <f>IF(AND(LEFT('S.01.01.07'!$D$76,8)&lt;&gt;"Reported",'S.01.01.07'!$D$76&lt;&gt;""),Show!$B$6 &amp; "S.30.04.01.01 Rows{Z}@ForceFilingCode:false","")</f>
        <v/>
      </c>
      <c r="B810" t="str">
        <f>IF(AND(LEFT('S.01.01.07'!$D$76,8)&lt;&gt;"Reported",'S.01.01.07'!$D$76&lt;&gt;""),Show!$B$6&amp; Show!$B$6&amp;"S.30.04.01.01 Rows{Z}@ForceFilingCode:false","")</f>
        <v/>
      </c>
    </row>
    <row r="811" spans="1:2">
      <c r="A811" t="str">
        <f>IF(AND(LEFT('S.01.01.07'!$D$76,8)&lt;&gt;"Reported",'S.01.01.07'!$D$76&lt;&gt;""),Show!$B$6 &amp; "S.30.04.01.02 Rows{Z}@ForceFilingCode:false","")</f>
        <v/>
      </c>
      <c r="B811" t="str">
        <f>IF(AND(LEFT('S.01.01.07'!$D$76,8)&lt;&gt;"Reported",'S.01.01.07'!$D$76&lt;&gt;""),Show!$B$6&amp; Show!$B$6&amp;"S.30.04.01.02 Rows{Z}@ForceFilingCode:false","")</f>
        <v/>
      </c>
    </row>
    <row r="812" spans="1:2">
      <c r="A812" t="str">
        <f>IF(AND(LEFT('S.01.01.07'!$D$76,8)&lt;&gt;"Reported",'S.01.01.07'!$D$76&lt;&gt;""),Show!$B$6 &amp; "S.30.04.01.03 Rows{Z}@ForceFilingCode:false","")</f>
        <v/>
      </c>
      <c r="B812" t="str">
        <f>IF(AND(LEFT('S.01.01.07'!$D$76,8)&lt;&gt;"Reported",'S.01.01.07'!$D$76&lt;&gt;""),Show!$B$6&amp; Show!$B$6&amp;"S.30.04.01.03 Rows{Z}@ForceFilingCode:false","")</f>
        <v/>
      </c>
    </row>
    <row r="813" spans="1:2">
      <c r="A813" t="str">
        <f>IF(AND(LEFT('S.01.01.07'!$D$77,8)&lt;&gt;"Reported",'S.01.01.07'!$D$77&lt;&gt;""),Show!$B$6 &amp; "S.31.01.01.01 Rows{Z}@ForceFilingCode:false","")</f>
        <v/>
      </c>
      <c r="B813" t="str">
        <f>IF(AND(LEFT('S.01.01.07'!$D$77,8)&lt;&gt;"Reported",'S.01.01.07'!$D$77&lt;&gt;""),Show!$B$6&amp; Show!$B$6&amp;"S.31.01.01.01 Rows{Z}@ForceFilingCode:false","")</f>
        <v/>
      </c>
    </row>
    <row r="814" spans="1:2">
      <c r="A814" t="str">
        <f>IF(AND(LEFT('S.01.01.07'!$D$77,8)&lt;&gt;"Reported",'S.01.01.07'!$D$77&lt;&gt;""),Show!$B$6 &amp; "S.31.01.01.02 Rows{Z}@ForceFilingCode:false","")</f>
        <v/>
      </c>
      <c r="B814" t="str">
        <f>IF(AND(LEFT('S.01.01.07'!$D$77,8)&lt;&gt;"Reported",'S.01.01.07'!$D$77&lt;&gt;""),Show!$B$6&amp; Show!$B$6&amp;"S.31.01.01.02 Rows{Z}@ForceFilingCode:false","")</f>
        <v/>
      </c>
    </row>
    <row r="815" spans="1:2">
      <c r="A815" t="str">
        <f>IF(AND(LEFT('S.01.01.07'!$D$78,8)&lt;&gt;"Reported",'S.01.01.07'!$D$78&lt;&gt;""),Show!$B$6 &amp; "S.31.02.01.01 Rows{Z}@ForceFilingCode:false","")</f>
        <v/>
      </c>
      <c r="B815" t="str">
        <f>IF(AND(LEFT('S.01.01.07'!$D$78,8)&lt;&gt;"Reported",'S.01.01.07'!$D$78&lt;&gt;""),Show!$B$6&amp; Show!$B$6&amp;"S.31.02.01.01 Rows{Z}@ForceFilingCode:false","")</f>
        <v/>
      </c>
    </row>
    <row r="816" spans="1:2">
      <c r="A816" t="str">
        <f>IF(AND(LEFT('S.01.01.07'!$D$78,8)&lt;&gt;"Reported",'S.01.01.07'!$D$78&lt;&gt;""),Show!$B$6 &amp; "S.31.02.01.02 Rows{Z}@ForceFilingCode:false","")</f>
        <v/>
      </c>
      <c r="B816" t="str">
        <f>IF(AND(LEFT('S.01.01.07'!$D$78,8)&lt;&gt;"Reported",'S.01.01.07'!$D$78&lt;&gt;""),Show!$B$6&amp; Show!$B$6&amp;"S.31.02.01.02 Rows{Z}@ForceFilingCode:false","")</f>
        <v/>
      </c>
    </row>
    <row r="817" spans="1:2">
      <c r="A817" t="str">
        <f>IF(AND(LEFT('S.01.01.08'!$D$16,8)&lt;&gt;"Reported",'S.01.01.08'!$D$16&lt;&gt;""),Show!$B$7 &amp; "S.01.02.07.01 Rows{Z}@ForceFilingCode:false","")</f>
        <v/>
      </c>
      <c r="B817" t="str">
        <f>IF(AND(LEFT('S.01.01.08'!$D$16,8)&lt;&gt;"Reported",'S.01.01.08'!$D$16&lt;&gt;""),Show!$B$7&amp; Show!$B$7&amp;"S.01.02.07.01 Rows{Z}@ForceFilingCode:false","")</f>
        <v/>
      </c>
    </row>
    <row r="818" spans="1:2">
      <c r="A818" t="str">
        <f>IF(AND(LEFT('S.01.01.08'!$D$16,8)&lt;&gt;"Reported",'S.01.01.08'!$D$16&lt;&gt;""),Show!$B$7 &amp; "S.01.02.07.02 Rows{Z}@ForceFilingCode:false","")</f>
        <v/>
      </c>
      <c r="B818" t="str">
        <f>IF(AND(LEFT('S.01.01.08'!$D$16,8)&lt;&gt;"Reported",'S.01.01.08'!$D$16&lt;&gt;""),Show!$B$7&amp; Show!$B$7&amp;"S.01.02.07.02 Rows{Z}@ForceFilingCode:false","")</f>
        <v/>
      </c>
    </row>
    <row r="819" spans="1:2">
      <c r="A819" t="str">
        <f>IF(AND(LEFT('S.01.01.08'!$D$16,8)&lt;&gt;"Reported",'S.01.01.08'!$D$16&lt;&gt;""),Show!$B$7 &amp; "S.01.02.07.03 Rows{Z}@ForceFilingCode:false","")</f>
        <v/>
      </c>
      <c r="B819" t="str">
        <f>IF(AND(LEFT('S.01.01.08'!$D$16,8)&lt;&gt;"Reported",'S.01.01.08'!$D$16&lt;&gt;""),Show!$B$7&amp; Show!$B$7&amp;"S.01.02.07.03 Rows{Z}@ForceFilingCode:false","")</f>
        <v/>
      </c>
    </row>
    <row r="820" spans="1:2">
      <c r="A820" t="str">
        <f>IF(AND(LEFT('S.01.01.08'!$D$17,8)&lt;&gt;"Reported",'S.01.01.08'!$D$17&lt;&gt;""),Show!$B$7 &amp; "S.02.01.08.01 Rows{Z}@ForceFilingCode:false","")</f>
        <v/>
      </c>
      <c r="B820" t="str">
        <f>IF(AND(LEFT('S.01.01.08'!$D$17,8)&lt;&gt;"Reported",'S.01.01.08'!$D$17&lt;&gt;""),Show!$B$7&amp; Show!$B$7&amp;"S.02.01.08.01 Rows{Z}@ForceFilingCode:false","")</f>
        <v/>
      </c>
    </row>
    <row r="821" spans="1:2">
      <c r="A821" t="str">
        <f>IF(AND(LEFT('S.01.01.08'!$D$18,8)&lt;&gt;"Reported",'S.01.01.08'!$D$18&lt;&gt;""),Show!$B$7 &amp; "S.05.01.02.01 Rows{Z}@ForceFilingCode:false","")</f>
        <v/>
      </c>
      <c r="B821" t="str">
        <f>IF(AND(LEFT('S.01.01.08'!$D$18,8)&lt;&gt;"Reported",'S.01.01.08'!$D$18&lt;&gt;""),Show!$B$7&amp; Show!$B$7&amp;"S.05.01.02.01 Rows{Z}@ForceFilingCode:false","")</f>
        <v/>
      </c>
    </row>
    <row r="822" spans="1:2">
      <c r="A822" t="str">
        <f>IF(AND(LEFT('S.01.01.08'!$D$18,8)&lt;&gt;"Reported",'S.01.01.08'!$D$18&lt;&gt;""),Show!$B$7 &amp; "S.05.01.02.02 Rows{Z}@ForceFilingCode:false","")</f>
        <v/>
      </c>
      <c r="B822" t="str">
        <f>IF(AND(LEFT('S.01.01.08'!$D$18,8)&lt;&gt;"Reported",'S.01.01.08'!$D$18&lt;&gt;""),Show!$B$7&amp; Show!$B$7&amp;"S.05.01.02.02 Rows{Z}@ForceFilingCode:false","")</f>
        <v/>
      </c>
    </row>
    <row r="823" spans="1:2">
      <c r="A823" t="str">
        <f>IF(AND(LEFT('S.01.01.08'!$D$19,8)&lt;&gt;"Reported",'S.01.01.08'!$D$19&lt;&gt;""),Show!$B$7 &amp; "S.06.02.07.01 Rows{Z}@ForceFilingCode:false","")</f>
        <v/>
      </c>
      <c r="B823" t="str">
        <f>IF(AND(LEFT('S.01.01.08'!$D$19,8)&lt;&gt;"Reported",'S.01.01.08'!$D$19&lt;&gt;""),Show!$B$7&amp; Show!$B$7&amp;"S.06.02.07.01 Rows{Z}@ForceFilingCode:false","")</f>
        <v/>
      </c>
    </row>
    <row r="824" spans="1:2">
      <c r="A824" t="str">
        <f>IF(AND(LEFT('S.01.01.08'!$D$19,8)&lt;&gt;"Reported",'S.01.01.08'!$D$19&lt;&gt;""),Show!$B$7 &amp; "S.06.02.07.02 Rows{Z}@ForceFilingCode:false","")</f>
        <v/>
      </c>
      <c r="B824" t="str">
        <f>IF(AND(LEFT('S.01.01.08'!$D$19,8)&lt;&gt;"Reported",'S.01.01.08'!$D$19&lt;&gt;""),Show!$B$7&amp; Show!$B$7&amp;"S.06.02.07.02 Rows{Z}@ForceFilingCode:false","")</f>
        <v/>
      </c>
    </row>
    <row r="825" spans="1:2">
      <c r="A825" t="str">
        <f>IF(AND(LEFT('S.01.01.08'!$D$20,8)&lt;&gt;"Reported",'S.01.01.08'!$D$20&lt;&gt;""),Show!$B$7 &amp; "S.06.03.01.01 Rows{Z}@ForceFilingCode:false","")</f>
        <v/>
      </c>
      <c r="B825" t="str">
        <f>IF(AND(LEFT('S.01.01.08'!$D$20,8)&lt;&gt;"Reported",'S.01.01.08'!$D$20&lt;&gt;""),Show!$B$7&amp; Show!$B$7&amp;"S.06.03.01.01 Rows{Z}@ForceFilingCode:false","")</f>
        <v/>
      </c>
    </row>
    <row r="826" spans="1:2">
      <c r="A826" t="str">
        <f>IF(AND(LEFT('S.01.01.08'!$D$21,8)&lt;&gt;"Reported",'S.01.01.08'!$D$21&lt;&gt;""),Show!$B$7 &amp; "S.08.01.01.01 Rows{Z}@ForceFilingCode:false","")</f>
        <v/>
      </c>
      <c r="B826" t="str">
        <f>IF(AND(LEFT('S.01.01.08'!$D$21,8)&lt;&gt;"Reported",'S.01.01.08'!$D$21&lt;&gt;""),Show!$B$7&amp; Show!$B$7&amp;"S.08.01.01.01 Rows{Z}@ForceFilingCode:false","")</f>
        <v/>
      </c>
    </row>
    <row r="827" spans="1:2">
      <c r="A827" t="str">
        <f>IF(AND(LEFT('S.01.01.08'!$D$21,8)&lt;&gt;"Reported",'S.01.01.08'!$D$21&lt;&gt;""),Show!$B$7 &amp; "S.08.01.01.02 Rows{Z}@ForceFilingCode:false","")</f>
        <v/>
      </c>
      <c r="B827" t="str">
        <f>IF(AND(LEFT('S.01.01.08'!$D$21,8)&lt;&gt;"Reported",'S.01.01.08'!$D$21&lt;&gt;""),Show!$B$7&amp; Show!$B$7&amp;"S.08.01.01.02 Rows{Z}@ForceFilingCode:false","")</f>
        <v/>
      </c>
    </row>
    <row r="828" spans="1:2">
      <c r="A828" t="str">
        <f>IF(AND(LEFT('S.01.01.08'!$D$22,8)&lt;&gt;"Reported",'S.01.01.08'!$D$22&lt;&gt;""),Show!$B$7 &amp; "S.08.02.01.01 Rows{Z}@ForceFilingCode:false","")</f>
        <v/>
      </c>
      <c r="B828" t="str">
        <f>IF(AND(LEFT('S.01.01.08'!$D$22,8)&lt;&gt;"Reported",'S.01.01.08'!$D$22&lt;&gt;""),Show!$B$7&amp; Show!$B$7&amp;"S.08.02.01.01 Rows{Z}@ForceFilingCode:false","")</f>
        <v/>
      </c>
    </row>
    <row r="829" spans="1:2">
      <c r="A829" t="str">
        <f>IF(AND(LEFT('S.01.01.08'!$D$22,8)&lt;&gt;"Reported",'S.01.01.08'!$D$22&lt;&gt;""),Show!$B$7 &amp; "S.08.02.01.02 Rows{Z}@ForceFilingCode:false","")</f>
        <v/>
      </c>
      <c r="B829" t="str">
        <f>IF(AND(LEFT('S.01.01.08'!$D$22,8)&lt;&gt;"Reported",'S.01.01.08'!$D$22&lt;&gt;""),Show!$B$7&amp; Show!$B$7&amp;"S.08.02.01.02 Rows{Z}@ForceFilingCode:false","")</f>
        <v/>
      </c>
    </row>
    <row r="830" spans="1:2">
      <c r="A830" t="str">
        <f>IF(AND(LEFT('S.01.01.08'!$D$23,8)&lt;&gt;"Reported",'S.01.01.08'!$D$23&lt;&gt;""),Show!$B$7 &amp; "S.12.01.02.01 Rows{Z}@ForceFilingCode:false","")</f>
        <v/>
      </c>
      <c r="B830" t="str">
        <f>IF(AND(LEFT('S.01.01.08'!$D$23,8)&lt;&gt;"Reported",'S.01.01.08'!$D$23&lt;&gt;""),Show!$B$7&amp; Show!$B$7&amp;"S.12.01.02.01 Rows{Z}@ForceFilingCode:false","")</f>
        <v/>
      </c>
    </row>
    <row r="831" spans="1:2">
      <c r="A831" t="str">
        <f>IF(AND(LEFT('S.01.01.08'!$D$24,8)&lt;&gt;"Reported",'S.01.01.08'!$D$24&lt;&gt;""),Show!$B$7 &amp; "S.17.01.02.01 Rows{Z}@ForceFilingCode:false","")</f>
        <v/>
      </c>
      <c r="B831" t="str">
        <f>IF(AND(LEFT('S.01.01.08'!$D$24,8)&lt;&gt;"Reported",'S.01.01.08'!$D$24&lt;&gt;""),Show!$B$7&amp; Show!$B$7&amp;"S.17.01.02.01 Rows{Z}@ForceFilingCode:false","")</f>
        <v/>
      </c>
    </row>
    <row r="832" spans="1:2">
      <c r="A832" t="str">
        <f>IF(AND(LEFT('S.01.01.08'!$D$25,8)&lt;&gt;"Reported",'S.01.01.08'!$D$25&lt;&gt;""),Show!$B$7 &amp; "S.23.01.07.01 Rows{Z}@ForceFilingCode:false","")</f>
        <v/>
      </c>
      <c r="B832" t="str">
        <f>IF(AND(LEFT('S.01.01.08'!$D$25,8)&lt;&gt;"Reported",'S.01.01.08'!$D$25&lt;&gt;""),Show!$B$7&amp; Show!$B$7&amp;"S.23.01.07.01 Rows{Z}@ForceFilingCode:false","")</f>
        <v/>
      </c>
    </row>
    <row r="833" spans="1:2">
      <c r="A833" t="str">
        <f>IF(AND(LEFT('S.01.01.08'!$D$25,8)&lt;&gt;"Reported",'S.01.01.08'!$D$25&lt;&gt;""),Show!$B$7 &amp; "S.23.01.07.02 Rows{Z}@ForceFilingCode:false","")</f>
        <v/>
      </c>
      <c r="B833" t="str">
        <f>IF(AND(LEFT('S.01.01.08'!$D$25,8)&lt;&gt;"Reported",'S.01.01.08'!$D$25&lt;&gt;""),Show!$B$7&amp; Show!$B$7&amp;"S.23.01.07.02 Rows{Z}@ForceFilingCode:false","")</f>
        <v/>
      </c>
    </row>
    <row r="834" spans="1:2">
      <c r="A834" t="str">
        <f>IF(AND(LEFT('S.01.01.08'!$D$26,8)&lt;&gt;"Reported",'S.01.01.08'!$D$26&lt;&gt;""),Show!$B$7 &amp; "S.28.01.01.01 Rows{Z}@ForceFilingCode:false","")</f>
        <v/>
      </c>
      <c r="B834" t="str">
        <f>IF(AND(LEFT('S.01.01.08'!$D$26,8)&lt;&gt;"Reported",'S.01.01.08'!$D$26&lt;&gt;""),Show!$B$7&amp; Show!$B$7&amp;"S.28.01.01.01 Rows{Z}@ForceFilingCode:false","")</f>
        <v/>
      </c>
    </row>
    <row r="835" spans="1:2">
      <c r="A835" t="str">
        <f>IF(AND(LEFT('S.01.01.08'!$D$26,8)&lt;&gt;"Reported",'S.01.01.08'!$D$26&lt;&gt;""),Show!$B$7 &amp; "S.28.01.01.02 Rows{Z}@ForceFilingCode:false","")</f>
        <v/>
      </c>
      <c r="B835" t="str">
        <f>IF(AND(LEFT('S.01.01.08'!$D$26,8)&lt;&gt;"Reported",'S.01.01.08'!$D$26&lt;&gt;""),Show!$B$7&amp; Show!$B$7&amp;"S.28.01.01.02 Rows{Z}@ForceFilingCode:false","")</f>
        <v/>
      </c>
    </row>
    <row r="836" spans="1:2">
      <c r="A836" t="str">
        <f>IF(AND(LEFT('S.01.01.08'!$D$26,8)&lt;&gt;"Reported",'S.01.01.08'!$D$26&lt;&gt;""),Show!$B$7 &amp; "S.28.01.01.03 Rows{Z}@ForceFilingCode:false","")</f>
        <v/>
      </c>
      <c r="B836" t="str">
        <f>IF(AND(LEFT('S.01.01.08'!$D$26,8)&lt;&gt;"Reported",'S.01.01.08'!$D$26&lt;&gt;""),Show!$B$7&amp; Show!$B$7&amp;"S.28.01.01.03 Rows{Z}@ForceFilingCode:false","")</f>
        <v/>
      </c>
    </row>
    <row r="837" spans="1:2">
      <c r="A837" t="str">
        <f>IF(AND(LEFT('S.01.01.08'!$D$26,8)&lt;&gt;"Reported",'S.01.01.08'!$D$26&lt;&gt;""),Show!$B$7 &amp; "S.28.01.01.04 Rows{Z}@ForceFilingCode:false","")</f>
        <v/>
      </c>
      <c r="B837" t="str">
        <f>IF(AND(LEFT('S.01.01.08'!$D$26,8)&lt;&gt;"Reported",'S.01.01.08'!$D$26&lt;&gt;""),Show!$B$7&amp; Show!$B$7&amp;"S.28.01.01.04 Rows{Z}@ForceFilingCode:false","")</f>
        <v/>
      </c>
    </row>
    <row r="838" spans="1:2">
      <c r="A838" t="str">
        <f>IF(AND(LEFT('S.01.01.08'!$D$26,8)&lt;&gt;"Reported",'S.01.01.08'!$D$26&lt;&gt;""),Show!$B$7 &amp; "S.28.01.01.05 Rows{Z}@ForceFilingCode:false","")</f>
        <v/>
      </c>
      <c r="B838" t="str">
        <f>IF(AND(LEFT('S.01.01.08'!$D$26,8)&lt;&gt;"Reported",'S.01.01.08'!$D$26&lt;&gt;""),Show!$B$7&amp; Show!$B$7&amp;"S.28.01.01.05 Rows{Z}@ForceFilingCode:false","")</f>
        <v/>
      </c>
    </row>
    <row r="839" spans="1:2">
      <c r="A839" t="str">
        <f>IF(AND(LEFT('S.01.01.08'!$D$27,8)&lt;&gt;"Reported",'S.01.01.08'!$D$27&lt;&gt;""),Show!$B$7 &amp; "S.28.02.01.01 Rows{Z}@ForceFilingCode:false","")</f>
        <v/>
      </c>
      <c r="B839" t="str">
        <f>IF(AND(LEFT('S.01.01.08'!$D$27,8)&lt;&gt;"Reported",'S.01.01.08'!$D$27&lt;&gt;""),Show!$B$7&amp; Show!$B$7&amp;"S.28.02.01.01 Rows{Z}@ForceFilingCode:false","")</f>
        <v/>
      </c>
    </row>
    <row r="840" spans="1:2">
      <c r="A840" t="str">
        <f>IF(AND(LEFT('S.01.01.08'!$D$27,8)&lt;&gt;"Reported",'S.01.01.08'!$D$27&lt;&gt;""),Show!$B$7 &amp; "S.28.02.01.02 Rows{Z}@ForceFilingCode:false","")</f>
        <v/>
      </c>
      <c r="B840" t="str">
        <f>IF(AND(LEFT('S.01.01.08'!$D$27,8)&lt;&gt;"Reported",'S.01.01.08'!$D$27&lt;&gt;""),Show!$B$7&amp; Show!$B$7&amp;"S.28.02.01.02 Rows{Z}@ForceFilingCode:false","")</f>
        <v/>
      </c>
    </row>
    <row r="841" spans="1:2">
      <c r="A841" t="str">
        <f>IF(AND(LEFT('S.01.01.08'!$D$27,8)&lt;&gt;"Reported",'S.01.01.08'!$D$27&lt;&gt;""),Show!$B$7 &amp; "S.28.02.01.03 Rows{Z}@ForceFilingCode:false","")</f>
        <v/>
      </c>
      <c r="B841" t="str">
        <f>IF(AND(LEFT('S.01.01.08'!$D$27,8)&lt;&gt;"Reported",'S.01.01.08'!$D$27&lt;&gt;""),Show!$B$7&amp; Show!$B$7&amp;"S.28.02.01.03 Rows{Z}@ForceFilingCode:false","")</f>
        <v/>
      </c>
    </row>
    <row r="842" spans="1:2">
      <c r="A842" t="str">
        <f>IF(AND(LEFT('S.01.01.08'!$D$27,8)&lt;&gt;"Reported",'S.01.01.08'!$D$27&lt;&gt;""),Show!$B$7 &amp; "S.28.02.01.04 Rows{Z}@ForceFilingCode:false","")</f>
        <v/>
      </c>
      <c r="B842" t="str">
        <f>IF(AND(LEFT('S.01.01.08'!$D$27,8)&lt;&gt;"Reported",'S.01.01.08'!$D$27&lt;&gt;""),Show!$B$7&amp; Show!$B$7&amp;"S.28.02.01.04 Rows{Z}@ForceFilingCode:false","")</f>
        <v/>
      </c>
    </row>
    <row r="843" spans="1:2">
      <c r="A843" t="str">
        <f>IF(AND(LEFT('S.01.01.08'!$D$27,8)&lt;&gt;"Reported",'S.01.01.08'!$D$27&lt;&gt;""),Show!$B$7 &amp; "S.28.02.01.05 Rows{Z}@ForceFilingCode:false","")</f>
        <v/>
      </c>
      <c r="B843" t="str">
        <f>IF(AND(LEFT('S.01.01.08'!$D$27,8)&lt;&gt;"Reported",'S.01.01.08'!$D$27&lt;&gt;""),Show!$B$7&amp; Show!$B$7&amp;"S.28.02.01.05 Rows{Z}@ForceFilingCode:false","")</f>
        <v/>
      </c>
    </row>
    <row r="844" spans="1:2">
      <c r="A844" t="str">
        <f>IF(AND(LEFT('S.01.01.08'!$D$27,8)&lt;&gt;"Reported",'S.01.01.08'!$D$27&lt;&gt;""),Show!$B$7 &amp; "S.28.02.01.06 Rows{Z}@ForceFilingCode:false","")</f>
        <v/>
      </c>
      <c r="B844" t="str">
        <f>IF(AND(LEFT('S.01.01.08'!$D$27,8)&lt;&gt;"Reported",'S.01.01.08'!$D$27&lt;&gt;""),Show!$B$7&amp; Show!$B$7&amp;"S.28.02.01.06 Rows{Z}@ForceFilingCode:false","")</f>
        <v/>
      </c>
    </row>
    <row r="845" spans="1:2">
      <c r="A845" t="str">
        <f>IF(AND(LEFT('S.01.01.10'!$D$16,8)&lt;&gt;"Reported",'S.01.01.10'!$D$16&lt;&gt;""),Show!$B$8 &amp; "S.01.02.01.01 Rows{Z}@ForceFilingCode:false","")</f>
        <v/>
      </c>
      <c r="B845" t="str">
        <f>IF(AND(LEFT('S.01.01.10'!$D$16,8)&lt;&gt;"Reported",'S.01.01.10'!$D$16&lt;&gt;""),Show!$B$8&amp; Show!$B$8&amp;"S.01.02.01.01 Rows{Z}@ForceFilingCode:false","")</f>
        <v/>
      </c>
    </row>
    <row r="846" spans="1:2">
      <c r="A846" t="str">
        <f>IF(AND(LEFT('S.01.01.10'!$D$17,8)&lt;&gt;"Reported",'S.01.01.10'!$D$17&lt;&gt;""),Show!$B$8 &amp; "S.14.01.10.01 Rows{Z}@ForceFilingCode:false","")</f>
        <v/>
      </c>
      <c r="B846" t="str">
        <f>IF(AND(LEFT('S.01.01.10'!$D$17,8)&lt;&gt;"Reported",'S.01.01.10'!$D$17&lt;&gt;""),Show!$B$8&amp; Show!$B$8&amp;"S.14.01.10.01 Rows{Z}@ForceFilingCode:false","")</f>
        <v/>
      </c>
    </row>
    <row r="847" spans="1:2">
      <c r="A847" t="str">
        <f>IF(AND(LEFT('S.01.01.10'!$D$18,8)&lt;&gt;"Reported",'S.01.01.10'!$D$18&lt;&gt;""),Show!$B$8 &amp; "S.38.01.10.01 Rows{Z}@ForceFilingCode:false","")</f>
        <v/>
      </c>
      <c r="B847" t="str">
        <f>IF(AND(LEFT('S.01.01.10'!$D$18,8)&lt;&gt;"Reported",'S.01.01.10'!$D$18&lt;&gt;""),Show!$B$8&amp; Show!$B$8&amp;"S.38.01.10.01 Rows{Z}@ForceFilingCode:false","")</f>
        <v/>
      </c>
    </row>
    <row r="848" spans="1:2">
      <c r="A848" t="str">
        <f>IF(AND(LEFT('S.01.01.10'!$D$19,8)&lt;&gt;"Reported",'S.01.01.10'!$D$19&lt;&gt;""),Show!$B$8 &amp; "S.40.01.10.01 Rows{Z}@ForceFilingCode:false","")</f>
        <v/>
      </c>
      <c r="B848" t="str">
        <f>IF(AND(LEFT('S.01.01.10'!$D$19,8)&lt;&gt;"Reported",'S.01.01.10'!$D$19&lt;&gt;""),Show!$B$8&amp; Show!$B$8&amp;"S.40.01.10.01 Rows{Z}@ForceFilingCode:false","")</f>
        <v/>
      </c>
    </row>
    <row r="849" spans="1:2">
      <c r="A849" t="str">
        <f>IF(AND(LEFT('S.01.01.11'!$D$16,8)&lt;&gt;"Reported",'S.01.01.11'!$D$16&lt;&gt;""),Show!$B$9 &amp; "S.01.02.01.01 Rows{Z}@ForceFilingCode:false","")</f>
        <v/>
      </c>
      <c r="B849" t="str">
        <f>IF(AND(LEFT('S.01.01.11'!$D$16,8)&lt;&gt;"Reported",'S.01.01.11'!$D$16&lt;&gt;""),Show!$B$9&amp; Show!$B$9&amp;"S.01.02.01.01 Rows{Z}@ForceFilingCode:false","")</f>
        <v/>
      </c>
    </row>
    <row r="850" spans="1:2">
      <c r="A850" t="str">
        <f>IF(AND(LEFT('S.01.01.11'!$D$17,8)&lt;&gt;"Reported",'S.01.01.11'!$D$17&lt;&gt;""),Show!$B$9 &amp; "S.25.04.11.01 Rows{Z}@ForceFilingCode:false","")</f>
        <v/>
      </c>
      <c r="B850" t="str">
        <f>IF(AND(LEFT('S.01.01.11'!$D$17,8)&lt;&gt;"Reported",'S.01.01.11'!$D$17&lt;&gt;""),Show!$B$9&amp; Show!$B$9&amp;"S.25.04.11.01 Rows{Z}@ForceFilingCode:false","")</f>
        <v/>
      </c>
    </row>
    <row r="851" spans="1:2">
      <c r="A851" t="str">
        <f>IF(AND(LEFT('S.01.01.11'!$D$18,8)&lt;&gt;"Reported",'S.01.01.11'!$D$18&lt;&gt;""),Show!$B$9 &amp; "S.39.01.11.01 Rows{Z}@ForceFilingCode:false","")</f>
        <v/>
      </c>
      <c r="B851" t="str">
        <f>IF(AND(LEFT('S.01.01.11'!$D$18,8)&lt;&gt;"Reported",'S.01.01.11'!$D$18&lt;&gt;""),Show!$B$9&amp; Show!$B$9&amp;"S.39.01.11.01 Rows{Z}@ForceFilingCode:false","")</f>
        <v/>
      </c>
    </row>
    <row r="852" spans="1:2">
      <c r="A852" t="str">
        <f>IF(AND(LEFT('S.01.01.11'!$D$19,8)&lt;&gt;"Reported",'S.01.01.11'!$D$19&lt;&gt;""),Show!$B$9 &amp; "S.41.01.11.01 Rows{Z}@ForceFilingCode:false","")</f>
        <v/>
      </c>
      <c r="B852" t="str">
        <f>IF(AND(LEFT('S.01.01.11'!$D$19,8)&lt;&gt;"Reported",'S.01.01.11'!$D$19&lt;&gt;""),Show!$B$9&amp; Show!$B$9&amp;"S.41.01.11.01 Rows{Z}@ForceFilingCode:false","")</f>
        <v/>
      </c>
    </row>
    <row r="853" spans="1:2">
      <c r="A853" t="str">
        <f>IF(AND(LEFT('S.01.01.12'!$D$16,8)&lt;&gt;"Reported",'S.01.01.12'!$D$16&lt;&gt;""),Show!$B$10 &amp; "S.01.02.04.01 Rows{Z}@ForceFilingCode:false","")</f>
        <v/>
      </c>
      <c r="B853" t="str">
        <f>IF(AND(LEFT('S.01.01.12'!$D$16,8)&lt;&gt;"Reported",'S.01.01.12'!$D$16&lt;&gt;""),Show!$B$10&amp; Show!$B$10&amp;"S.01.02.04.01 Rows{Z}@ForceFilingCode:false","")</f>
        <v/>
      </c>
    </row>
    <row r="854" spans="1:2">
      <c r="A854" t="str">
        <f>IF(AND(LEFT('S.01.01.12'!$D$17,8)&lt;&gt;"Reported",'S.01.01.12'!$D$17&lt;&gt;""),Show!$B$10 &amp; "S.14.01.10.01 Rows{Z}@ForceFilingCode:false","")</f>
        <v/>
      </c>
      <c r="B854" t="str">
        <f>IF(AND(LEFT('S.01.01.12'!$D$17,8)&lt;&gt;"Reported",'S.01.01.12'!$D$17&lt;&gt;""),Show!$B$10&amp; Show!$B$10&amp;"S.14.01.10.01 Rows{Z}@ForceFilingCode:false","")</f>
        <v/>
      </c>
    </row>
    <row r="855" spans="1:2">
      <c r="A855" t="str">
        <f>IF(AND(LEFT('S.01.01.12'!$D$18,8)&lt;&gt;"Reported",'S.01.01.12'!$D$18&lt;&gt;""),Show!$B$10 &amp; "S.38.01.10.01 Rows{Z}@ForceFilingCode:false","")</f>
        <v/>
      </c>
      <c r="B855" t="str">
        <f>IF(AND(LEFT('S.01.01.12'!$D$18,8)&lt;&gt;"Reported",'S.01.01.12'!$D$18&lt;&gt;""),Show!$B$10&amp; Show!$B$10&amp;"S.38.01.10.01 Rows{Z}@ForceFilingCode:false","")</f>
        <v/>
      </c>
    </row>
    <row r="856" spans="1:2">
      <c r="A856" t="str">
        <f>IF(AND(LEFT('S.01.01.12'!$D$19,8)&lt;&gt;"Reported",'S.01.01.12'!$D$19&lt;&gt;""),Show!$B$10 &amp; "S.40.01.10.01 Rows{Z}@ForceFilingCode:false","")</f>
        <v/>
      </c>
      <c r="B856" t="str">
        <f>IF(AND(LEFT('S.01.01.12'!$D$19,8)&lt;&gt;"Reported",'S.01.01.12'!$D$19&lt;&gt;""),Show!$B$10&amp; Show!$B$10&amp;"S.40.01.10.01 Rows{Z}@ForceFilingCode:false","")</f>
        <v/>
      </c>
    </row>
    <row r="857" spans="1:2">
      <c r="A857" t="str">
        <f>IF(AND(LEFT('S.01.01.13'!$D$16,8)&lt;&gt;"Reported",'S.01.01.13'!$D$16&lt;&gt;""),Show!$B$11 &amp; "S.01.02.04.01 Rows{Z}@ForceFilingCode:false","")</f>
        <v/>
      </c>
      <c r="B857" t="str">
        <f>IF(AND(LEFT('S.01.01.13'!$D$16,8)&lt;&gt;"Reported",'S.01.01.13'!$D$16&lt;&gt;""),Show!$B$11&amp; Show!$B$11&amp;"S.01.02.04.01 Rows{Z}@ForceFilingCode:false","")</f>
        <v/>
      </c>
    </row>
    <row r="858" spans="1:2">
      <c r="A858" t="str">
        <f>IF(AND(LEFT('S.01.01.13'!$D$17,8)&lt;&gt;"Reported",'S.01.01.13'!$D$17&lt;&gt;""),Show!$B$11 &amp; "S.02.01.02.01 Rows{Z}@ForceFilingCode:false","")</f>
        <v/>
      </c>
      <c r="B858" t="str">
        <f>IF(AND(LEFT('S.01.01.13'!$D$17,8)&lt;&gt;"Reported",'S.01.01.13'!$D$17&lt;&gt;""),Show!$B$11&amp; Show!$B$11&amp;"S.02.01.02.01 Rows{Z}@ForceFilingCode:false","")</f>
        <v/>
      </c>
    </row>
    <row r="859" spans="1:2">
      <c r="A859" t="str">
        <f>IF(AND(LEFT('S.01.01.13'!$D$18,8)&lt;&gt;"Reported",'S.01.01.13'!$D$18&lt;&gt;""),Show!$B$11 &amp; "S.05.01.13.01 Rows{Z}@ForceFilingCode:false","")</f>
        <v/>
      </c>
      <c r="B859" t="str">
        <f>IF(AND(LEFT('S.01.01.13'!$D$18,8)&lt;&gt;"Reported",'S.01.01.13'!$D$18&lt;&gt;""),Show!$B$11&amp; Show!$B$11&amp;"S.05.01.13.01 Rows{Z}@ForceFilingCode:false","")</f>
        <v/>
      </c>
    </row>
    <row r="860" spans="1:2">
      <c r="A860" t="str">
        <f>IF(AND(LEFT('S.01.01.13'!$D$18,8)&lt;&gt;"Reported",'S.01.01.13'!$D$18&lt;&gt;""),Show!$B$11 &amp; "S.05.01.13.02 Rows{Z}@ForceFilingCode:false","")</f>
        <v/>
      </c>
      <c r="B860" t="str">
        <f>IF(AND(LEFT('S.01.01.13'!$D$18,8)&lt;&gt;"Reported",'S.01.01.13'!$D$18&lt;&gt;""),Show!$B$11&amp; Show!$B$11&amp;"S.05.01.13.02 Rows{Z}@ForceFilingCode:false","")</f>
        <v/>
      </c>
    </row>
    <row r="861" spans="1:2">
      <c r="A861" t="str">
        <f>IF(AND(LEFT('S.01.01.13'!$D$19,8)&lt;&gt;"Reported",'S.01.01.13'!$D$19&lt;&gt;""),Show!$B$11 &amp; "S.06.02.04.01 Rows{Z}@ForceFilingCode:false","")</f>
        <v/>
      </c>
      <c r="B861" t="str">
        <f>IF(AND(LEFT('S.01.01.13'!$D$19,8)&lt;&gt;"Reported",'S.01.01.13'!$D$19&lt;&gt;""),Show!$B$11&amp; Show!$B$11&amp;"S.06.02.04.01 Rows{Z}@ForceFilingCode:false","")</f>
        <v/>
      </c>
    </row>
    <row r="862" spans="1:2">
      <c r="A862" t="str">
        <f>IF(AND(LEFT('S.01.01.13'!$D$19,8)&lt;&gt;"Reported",'S.01.01.13'!$D$19&lt;&gt;""),Show!$B$11 &amp; "S.06.02.04.02 Rows{Z}@ForceFilingCode:false","")</f>
        <v/>
      </c>
      <c r="B862" t="str">
        <f>IF(AND(LEFT('S.01.01.13'!$D$19,8)&lt;&gt;"Reported",'S.01.01.13'!$D$19&lt;&gt;""),Show!$B$11&amp; Show!$B$11&amp;"S.06.02.04.02 Rows{Z}@ForceFilingCode:false","")</f>
        <v/>
      </c>
    </row>
    <row r="863" spans="1:2">
      <c r="A863" t="str">
        <f>IF(AND(LEFT('S.01.01.13'!$D$20,8)&lt;&gt;"Reported",'S.01.01.13'!$D$20&lt;&gt;""),Show!$B$11 &amp; "S.23.01.13.01 Rows{Z}@ForceFilingCode:false","")</f>
        <v/>
      </c>
      <c r="B863" t="str">
        <f>IF(AND(LEFT('S.01.01.13'!$D$20,8)&lt;&gt;"Reported",'S.01.01.13'!$D$20&lt;&gt;""),Show!$B$11&amp; Show!$B$11&amp;"S.23.01.13.01 Rows{Z}@ForceFilingCode:false","")</f>
        <v/>
      </c>
    </row>
    <row r="864" spans="1:2">
      <c r="A864" t="str">
        <f>IF(AND(LEFT('S.01.01.13'!$D$21,8)&lt;&gt;"Reported",'S.01.01.13'!$D$21&lt;&gt;""),Show!$B$11 &amp; "S.25.04.13.01 Rows{Z}@ForceFilingCode:false","")</f>
        <v/>
      </c>
      <c r="B864" t="str">
        <f>IF(AND(LEFT('S.01.01.13'!$D$21,8)&lt;&gt;"Reported",'S.01.01.13'!$D$21&lt;&gt;""),Show!$B$11&amp; Show!$B$11&amp;"S.25.04.13.01 Rows{Z}@ForceFilingCode:false","")</f>
        <v/>
      </c>
    </row>
    <row r="865" spans="1:2">
      <c r="A865" t="str">
        <f>IF(AND(LEFT('S.01.01.13'!$D$22,8)&lt;&gt;"Reported",'S.01.01.13'!$D$22&lt;&gt;""),Show!$B$11 &amp; "S.39.01.11.01 Rows{Z}@ForceFilingCode:false","")</f>
        <v/>
      </c>
      <c r="B865" t="str">
        <f>IF(AND(LEFT('S.01.01.13'!$D$22,8)&lt;&gt;"Reported",'S.01.01.13'!$D$22&lt;&gt;""),Show!$B$11&amp; Show!$B$11&amp;"S.39.01.11.01 Rows{Z}@ForceFilingCode:false","")</f>
        <v/>
      </c>
    </row>
    <row r="866" spans="1:2">
      <c r="A866" t="str">
        <f>IF(AND(LEFT('S.01.01.13'!$D$23,8)&lt;&gt;"Reported",'S.01.01.13'!$D$23&lt;&gt;""),Show!$B$11 &amp; "S.41.01.11.01 Rows{Z}@ForceFilingCode:false","")</f>
        <v/>
      </c>
      <c r="B866" t="str">
        <f>IF(AND(LEFT('S.01.01.13'!$D$23,8)&lt;&gt;"Reported",'S.01.01.13'!$D$23&lt;&gt;""),Show!$B$11&amp; Show!$B$11&amp;"S.41.01.11.01 Rows{Z}@ForceFilingCode:false","")</f>
        <v/>
      </c>
    </row>
    <row r="867" spans="1:2">
      <c r="A867" t="str">
        <f>IF(AND(LEFT('S.01.01.14'!$D$16,8)&lt;&gt;"Reported",'S.01.01.14'!$D$16&lt;&gt;""),Show!$B$12 &amp; "S.01.02.07.01 Rows{Z}@ForceFilingCode:false","")</f>
        <v/>
      </c>
      <c r="B867" t="str">
        <f>IF(AND(LEFT('S.01.01.14'!$D$16,8)&lt;&gt;"Reported",'S.01.01.14'!$D$16&lt;&gt;""),Show!$B$12&amp; Show!$B$12&amp;"S.01.02.07.01 Rows{Z}@ForceFilingCode:false","")</f>
        <v/>
      </c>
    </row>
    <row r="868" spans="1:2">
      <c r="A868" t="str">
        <f>IF(AND(LEFT('S.01.01.14'!$D$16,8)&lt;&gt;"Reported",'S.01.01.14'!$D$16&lt;&gt;""),Show!$B$12 &amp; "S.01.02.07.02 Rows{Z}@ForceFilingCode:false","")</f>
        <v/>
      </c>
      <c r="B868" t="str">
        <f>IF(AND(LEFT('S.01.01.14'!$D$16,8)&lt;&gt;"Reported",'S.01.01.14'!$D$16&lt;&gt;""),Show!$B$12&amp; Show!$B$12&amp;"S.01.02.07.02 Rows{Z}@ForceFilingCode:false","")</f>
        <v/>
      </c>
    </row>
    <row r="869" spans="1:2">
      <c r="A869" t="str">
        <f>IF(AND(LEFT('S.01.01.14'!$D$16,8)&lt;&gt;"Reported",'S.01.01.14'!$D$16&lt;&gt;""),Show!$B$12 &amp; "S.01.02.07.03 Rows{Z}@ForceFilingCode:false","")</f>
        <v/>
      </c>
      <c r="B869" t="str">
        <f>IF(AND(LEFT('S.01.01.14'!$D$16,8)&lt;&gt;"Reported",'S.01.01.14'!$D$16&lt;&gt;""),Show!$B$12&amp; Show!$B$12&amp;"S.01.02.07.03 Rows{Z}@ForceFilingCode:false","")</f>
        <v/>
      </c>
    </row>
    <row r="870" spans="1:2">
      <c r="A870" t="str">
        <f>IF(AND(LEFT('S.01.01.14'!$D$17,8)&lt;&gt;"Reported",'S.01.01.14'!$D$17&lt;&gt;""),Show!$B$12 &amp; "S.14.01.10.01 Rows{Z}@ForceFilingCode:false","")</f>
        <v/>
      </c>
      <c r="B870" t="str">
        <f>IF(AND(LEFT('S.01.01.14'!$D$17,8)&lt;&gt;"Reported",'S.01.01.14'!$D$17&lt;&gt;""),Show!$B$12&amp; Show!$B$12&amp;"S.14.01.10.01 Rows{Z}@ForceFilingCode:false","")</f>
        <v/>
      </c>
    </row>
    <row r="871" spans="1:2">
      <c r="A871" t="str">
        <f>IF(AND(LEFT('S.01.01.14'!$D$18,8)&lt;&gt;"Reported",'S.01.01.14'!$D$18&lt;&gt;""),Show!$B$12 &amp; "S.38.01.10.01 Rows{Z}@ForceFilingCode:false","")</f>
        <v/>
      </c>
      <c r="B871" t="str">
        <f>IF(AND(LEFT('S.01.01.14'!$D$18,8)&lt;&gt;"Reported",'S.01.01.14'!$D$18&lt;&gt;""),Show!$B$12&amp; Show!$B$12&amp;"S.38.01.10.01 Rows{Z}@ForceFilingCode:false","")</f>
        <v/>
      </c>
    </row>
    <row r="872" spans="1:2">
      <c r="A872" t="str">
        <f>IF(AND(LEFT('S.01.01.14'!$D$19,8)&lt;&gt;"Reported",'S.01.01.14'!$D$19&lt;&gt;""),Show!$B$12 &amp; "S.40.01.10.01 Rows{Z}@ForceFilingCode:false","")</f>
        <v/>
      </c>
      <c r="B872" t="str">
        <f>IF(AND(LEFT('S.01.01.14'!$D$19,8)&lt;&gt;"Reported",'S.01.01.14'!$D$19&lt;&gt;""),Show!$B$12&amp; Show!$B$12&amp;"S.40.01.10.01 Rows{Z}@ForceFilingCode:false","")</f>
        <v/>
      </c>
    </row>
    <row r="873" spans="1:2">
      <c r="A873" t="str">
        <f>IF(AND(LEFT('S.01.01.15'!$D$16,8)&lt;&gt;"Reported",'S.01.01.15'!$D$16&lt;&gt;""),Show!$B$13 &amp; "S.01.02.07.01 Rows{Z}@ForceFilingCode:false","")</f>
        <v/>
      </c>
      <c r="B873" t="str">
        <f>IF(AND(LEFT('S.01.01.15'!$D$16,8)&lt;&gt;"Reported",'S.01.01.15'!$D$16&lt;&gt;""),Show!$B$13&amp; Show!$B$13&amp;"S.01.02.07.01 Rows{Z}@ForceFilingCode:false","")</f>
        <v/>
      </c>
    </row>
    <row r="874" spans="1:2">
      <c r="A874" t="str">
        <f>IF(AND(LEFT('S.01.01.15'!$D$16,8)&lt;&gt;"Reported",'S.01.01.15'!$D$16&lt;&gt;""),Show!$B$13 &amp; "S.01.02.07.02 Rows{Z}@ForceFilingCode:false","")</f>
        <v/>
      </c>
      <c r="B874" t="str">
        <f>IF(AND(LEFT('S.01.01.15'!$D$16,8)&lt;&gt;"Reported",'S.01.01.15'!$D$16&lt;&gt;""),Show!$B$13&amp; Show!$B$13&amp;"S.01.02.07.02 Rows{Z}@ForceFilingCode:false","")</f>
        <v/>
      </c>
    </row>
    <row r="875" spans="1:2">
      <c r="A875" t="str">
        <f>IF(AND(LEFT('S.01.01.15'!$D$16,8)&lt;&gt;"Reported",'S.01.01.15'!$D$16&lt;&gt;""),Show!$B$13 &amp; "S.01.02.07.03 Rows{Z}@ForceFilingCode:false","")</f>
        <v/>
      </c>
      <c r="B875" t="str">
        <f>IF(AND(LEFT('S.01.01.15'!$D$16,8)&lt;&gt;"Reported",'S.01.01.15'!$D$16&lt;&gt;""),Show!$B$13&amp; Show!$B$13&amp;"S.01.02.07.03 Rows{Z}@ForceFilingCode:false","")</f>
        <v/>
      </c>
    </row>
    <row r="876" spans="1:2">
      <c r="A876" t="str">
        <f>IF(AND(LEFT('S.01.01.15'!$D$17,8)&lt;&gt;"Reported",'S.01.01.15'!$D$17&lt;&gt;""),Show!$B$13 &amp; "S.25.04.11.01 Rows{Z}@ForceFilingCode:false","")</f>
        <v/>
      </c>
      <c r="B876" t="str">
        <f>IF(AND(LEFT('S.01.01.15'!$D$17,8)&lt;&gt;"Reported",'S.01.01.15'!$D$17&lt;&gt;""),Show!$B$13&amp; Show!$B$13&amp;"S.25.04.11.01 Rows{Z}@ForceFilingCode:false","")</f>
        <v/>
      </c>
    </row>
    <row r="877" spans="1:2">
      <c r="A877" t="str">
        <f>IF(AND(LEFT('S.01.01.15'!$D$18,8)&lt;&gt;"Reported",'S.01.01.15'!$D$18&lt;&gt;""),Show!$B$13 &amp; "S.39.01.11.01 Rows{Z}@ForceFilingCode:false","")</f>
        <v/>
      </c>
      <c r="B877" t="str">
        <f>IF(AND(LEFT('S.01.01.15'!$D$18,8)&lt;&gt;"Reported",'S.01.01.15'!$D$18&lt;&gt;""),Show!$B$13&amp; Show!$B$13&amp;"S.39.01.11.01 Rows{Z}@ForceFilingCode:false","")</f>
        <v/>
      </c>
    </row>
    <row r="878" spans="1:2">
      <c r="A878" t="str">
        <f>IF(AND(LEFT('S.01.01.15'!$D$19,8)&lt;&gt;"Reported",'S.01.01.15'!$D$19&lt;&gt;""),Show!$B$13 &amp; "S.41.01.11.01 Rows{Z}@ForceFilingCode:false","")</f>
        <v/>
      </c>
      <c r="B878" t="str">
        <f>IF(AND(LEFT('S.01.01.15'!$D$19,8)&lt;&gt;"Reported",'S.01.01.15'!$D$19&lt;&gt;""),Show!$B$13&amp; Show!$B$13&amp;"S.41.01.11.01 Rows{Z}@ForceFilingCode:false","")</f>
        <v/>
      </c>
    </row>
    <row r="879" spans="1:2">
      <c r="A879" t="str">
        <f>IF(AND(LEFT('SR.01.01.01'!$D$20,8)&lt;&gt;"Reported",'SR.01.01.01'!$D$20&lt;&gt;""),Show!$B$14 &amp; "SR.02.01.01.01 Rows{Z}@ForceFilingCode:false","")</f>
        <v/>
      </c>
      <c r="B879" t="str">
        <f>IF(AND(LEFT('SR.01.01.01'!$D$20,8)&lt;&gt;"Reported",'SR.01.01.01'!$D$20&lt;&gt;""),Show!$B$14&amp; Show!$B$14&amp;"SR.02.01.01.01 Rows{Z}@ForceFilingCode:false","")</f>
        <v/>
      </c>
    </row>
    <row r="880" spans="1:2">
      <c r="A880" t="str">
        <f>IF(AND(LEFT('SR.01.01.01'!$D$21,8)&lt;&gt;"Reported",'SR.01.01.01'!$D$21&lt;&gt;""),Show!$B$14 &amp; "SR.12.01.01.01 Rows{Z}@ForceFilingCode:false","")</f>
        <v/>
      </c>
      <c r="B880" t="str">
        <f>IF(AND(LEFT('SR.01.01.01'!$D$21,8)&lt;&gt;"Reported",'SR.01.01.01'!$D$21&lt;&gt;""),Show!$B$14&amp; Show!$B$14&amp;"SR.12.01.01.01 Rows{Z}@ForceFilingCode:false","")</f>
        <v/>
      </c>
    </row>
    <row r="881" spans="1:2">
      <c r="A881" t="str">
        <f>IF(AND(LEFT('SR.01.01.01'!$D$22,8)&lt;&gt;"Reported",'SR.01.01.01'!$D$22&lt;&gt;""),Show!$B$14 &amp; "SR.17.01.01.01 Rows{Z}@ForceFilingCode:false","")</f>
        <v/>
      </c>
      <c r="B881" t="str">
        <f>IF(AND(LEFT('SR.01.01.01'!$D$22,8)&lt;&gt;"Reported",'SR.01.01.01'!$D$22&lt;&gt;""),Show!$B$14&amp; Show!$B$14&amp;"SR.17.01.01.01 Rows{Z}@ForceFilingCode:false","")</f>
        <v/>
      </c>
    </row>
    <row r="882" spans="1:2">
      <c r="A882" t="str">
        <f>IF(AND(LEFT('SR.01.01.01'!$D$23,8)&lt;&gt;"Reported",'SR.01.01.01'!$D$23&lt;&gt;""),Show!$B$14 &amp; "SR.22.02.01.01 Rows{Z}@ForceFilingCode:false","")</f>
        <v/>
      </c>
      <c r="B882" t="str">
        <f>IF(AND(LEFT('SR.01.01.01'!$D$23,8)&lt;&gt;"Reported",'SR.01.01.01'!$D$23&lt;&gt;""),Show!$B$14&amp; Show!$B$14&amp;"SR.22.02.01.01 Rows{Z}@ForceFilingCode:false","")</f>
        <v/>
      </c>
    </row>
    <row r="883" spans="1:2">
      <c r="A883" t="str">
        <f>IF(AND(LEFT('SR.01.01.01'!$D$24,8)&lt;&gt;"Reported",'SR.01.01.01'!$D$24&lt;&gt;""),Show!$B$14 &amp; "SR.22.03.01.01 Rows{Z}@ForceFilingCode:false","")</f>
        <v/>
      </c>
      <c r="B883" t="str">
        <f>IF(AND(LEFT('SR.01.01.01'!$D$24,8)&lt;&gt;"Reported",'SR.01.01.01'!$D$24&lt;&gt;""),Show!$B$14&amp; Show!$B$14&amp;"SR.22.03.01.01 Rows{Z}@ForceFilingCode:false","")</f>
        <v/>
      </c>
    </row>
    <row r="884" spans="1:2">
      <c r="A884" t="str">
        <f>IF(AND(LEFT('SR.01.01.01'!$D$25,8)&lt;&gt;"Reported",'SR.01.01.01'!$D$25&lt;&gt;""),Show!$B$14 &amp; "SR.25.01.01.01 Rows{Z}@ForceFilingCode:false","")</f>
        <v/>
      </c>
      <c r="B884" t="str">
        <f>IF(AND(LEFT('SR.01.01.01'!$D$25,8)&lt;&gt;"Reported",'SR.01.01.01'!$D$25&lt;&gt;""),Show!$B$14&amp; Show!$B$14&amp;"SR.25.01.01.01 Rows{Z}@ForceFilingCode:false","")</f>
        <v/>
      </c>
    </row>
    <row r="885" spans="1:2">
      <c r="A885" t="str">
        <f>IF(AND(LEFT('SR.01.01.01'!$D$25,8)&lt;&gt;"Reported",'SR.01.01.01'!$D$25&lt;&gt;""),Show!$B$14 &amp; "SR.25.01.01.02 Rows{Z}@ForceFilingCode:false","")</f>
        <v/>
      </c>
      <c r="B885" t="str">
        <f>IF(AND(LEFT('SR.01.01.01'!$D$25,8)&lt;&gt;"Reported",'SR.01.01.01'!$D$25&lt;&gt;""),Show!$B$14&amp; Show!$B$14&amp;"SR.25.01.01.02 Rows{Z}@ForceFilingCode:false","")</f>
        <v/>
      </c>
    </row>
    <row r="886" spans="1:2">
      <c r="A886" t="str">
        <f>IF(AND(LEFT('SR.01.01.01'!$D$25,8)&lt;&gt;"Reported",'SR.01.01.01'!$D$25&lt;&gt;""),Show!$B$14 &amp; "SR.25.01.01.03 Rows{Z}@ForceFilingCode:false","")</f>
        <v/>
      </c>
      <c r="B886" t="str">
        <f>IF(AND(LEFT('SR.01.01.01'!$D$25,8)&lt;&gt;"Reported",'SR.01.01.01'!$D$25&lt;&gt;""),Show!$B$14&amp; Show!$B$14&amp;"SR.25.01.01.03 Rows{Z}@ForceFilingCode:false","")</f>
        <v/>
      </c>
    </row>
    <row r="887" spans="1:2">
      <c r="A887" t="str">
        <f>IF(AND(LEFT('SR.01.01.01'!$D$25,8)&lt;&gt;"Reported",'SR.01.01.01'!$D$25&lt;&gt;""),Show!$B$14 &amp; "SR.25.01.01.04 Rows{Z}@ForceFilingCode:false","")</f>
        <v/>
      </c>
      <c r="B887" t="str">
        <f>IF(AND(LEFT('SR.01.01.01'!$D$25,8)&lt;&gt;"Reported",'SR.01.01.01'!$D$25&lt;&gt;""),Show!$B$14&amp; Show!$B$14&amp;"SR.25.01.01.04 Rows{Z}@ForceFilingCode:false","")</f>
        <v/>
      </c>
    </row>
    <row r="888" spans="1:2">
      <c r="A888" t="str">
        <f>IF(AND(LEFT('SR.01.01.01'!$D$25,8)&lt;&gt;"Reported",'SR.01.01.01'!$D$25&lt;&gt;""),Show!$B$14 &amp; "SR.25.01.01.05 Rows{Z}@ForceFilingCode:false","")</f>
        <v/>
      </c>
      <c r="B888" t="str">
        <f>IF(AND(LEFT('SR.01.01.01'!$D$25,8)&lt;&gt;"Reported",'SR.01.01.01'!$D$25&lt;&gt;""),Show!$B$14&amp; Show!$B$14&amp;"SR.25.01.01.05 Rows{Z}@ForceFilingCode:false","")</f>
        <v/>
      </c>
    </row>
    <row r="889" spans="1:2">
      <c r="A889" t="str">
        <f>IF(AND(LEFT('SR.01.01.01'!$D$26,8)&lt;&gt;"Reported",'SR.01.01.01'!$D$26&lt;&gt;""),Show!$B$14 &amp; "SR.25.02.01.01 Rows{Z}@ForceFilingCode:false","")</f>
        <v/>
      </c>
      <c r="B889" t="str">
        <f>IF(AND(LEFT('SR.01.01.01'!$D$26,8)&lt;&gt;"Reported",'SR.01.01.01'!$D$26&lt;&gt;""),Show!$B$14&amp; Show!$B$14&amp;"SR.25.02.01.01 Rows{Z}@ForceFilingCode:false","")</f>
        <v/>
      </c>
    </row>
    <row r="890" spans="1:2">
      <c r="A890" t="str">
        <f>IF(AND(LEFT('SR.01.01.01'!$D$26,8)&lt;&gt;"Reported",'SR.01.01.01'!$D$26&lt;&gt;""),Show!$B$14 &amp; "SR.25.02.01.02 Rows{Z}@ForceFilingCode:false","")</f>
        <v/>
      </c>
      <c r="B890" t="str">
        <f>IF(AND(LEFT('SR.01.01.01'!$D$26,8)&lt;&gt;"Reported",'SR.01.01.01'!$D$26&lt;&gt;""),Show!$B$14&amp; Show!$B$14&amp;"SR.25.02.01.02 Rows{Z}@ForceFilingCode:false","")</f>
        <v/>
      </c>
    </row>
    <row r="891" spans="1:2">
      <c r="A891" t="str">
        <f>IF(AND(LEFT('SR.01.01.01'!$D$26,8)&lt;&gt;"Reported",'SR.01.01.01'!$D$26&lt;&gt;""),Show!$B$14 &amp; "SR.25.02.01.03 Rows{Z}@ForceFilingCode:false","")</f>
        <v/>
      </c>
      <c r="B891" t="str">
        <f>IF(AND(LEFT('SR.01.01.01'!$D$26,8)&lt;&gt;"Reported",'SR.01.01.01'!$D$26&lt;&gt;""),Show!$B$14&amp; Show!$B$14&amp;"SR.25.02.01.03 Rows{Z}@ForceFilingCode:false","")</f>
        <v/>
      </c>
    </row>
    <row r="892" spans="1:2">
      <c r="A892" t="str">
        <f>IF(AND(LEFT('SR.01.01.01'!$D$26,8)&lt;&gt;"Reported",'SR.01.01.01'!$D$26&lt;&gt;""),Show!$B$14 &amp; "SR.25.02.01.04 Rows{Z}@ForceFilingCode:false","")</f>
        <v/>
      </c>
      <c r="B892" t="str">
        <f>IF(AND(LEFT('SR.01.01.01'!$D$26,8)&lt;&gt;"Reported",'SR.01.01.01'!$D$26&lt;&gt;""),Show!$B$14&amp; Show!$B$14&amp;"SR.25.02.01.04 Rows{Z}@ForceFilingCode:false","")</f>
        <v/>
      </c>
    </row>
    <row r="893" spans="1:2">
      <c r="A893" t="str">
        <f>IF(AND(LEFT('SR.01.01.01'!$D$26,8)&lt;&gt;"Reported",'SR.01.01.01'!$D$26&lt;&gt;""),Show!$B$14 &amp; "SR.25.02.01.05 Rows{Z}@ForceFilingCode:false","")</f>
        <v/>
      </c>
      <c r="B893" t="str">
        <f>IF(AND(LEFT('SR.01.01.01'!$D$26,8)&lt;&gt;"Reported",'SR.01.01.01'!$D$26&lt;&gt;""),Show!$B$14&amp; Show!$B$14&amp;"SR.25.02.01.05 Rows{Z}@ForceFilingCode:false","")</f>
        <v/>
      </c>
    </row>
    <row r="894" spans="1:2">
      <c r="A894" t="str">
        <f>IF(AND(LEFT('SR.01.01.01'!$D$27,8)&lt;&gt;"Reported",'SR.01.01.01'!$D$27&lt;&gt;""),Show!$B$14 &amp; "SR.25.03.01.01 Rows{Z}@ForceFilingCode:false","")</f>
        <v/>
      </c>
      <c r="B894" t="str">
        <f>IF(AND(LEFT('SR.01.01.01'!$D$27,8)&lt;&gt;"Reported",'SR.01.01.01'!$D$27&lt;&gt;""),Show!$B$14&amp; Show!$B$14&amp;"SR.25.03.01.01 Rows{Z}@ForceFilingCode:false","")</f>
        <v/>
      </c>
    </row>
    <row r="895" spans="1:2">
      <c r="A895" t="str">
        <f>IF(AND(LEFT('SR.01.01.01'!$D$27,8)&lt;&gt;"Reported",'SR.01.01.01'!$D$27&lt;&gt;""),Show!$B$14 &amp; "SR.25.03.01.02 Rows{Z}@ForceFilingCode:false","")</f>
        <v/>
      </c>
      <c r="B895" t="str">
        <f>IF(AND(LEFT('SR.01.01.01'!$D$27,8)&lt;&gt;"Reported",'SR.01.01.01'!$D$27&lt;&gt;""),Show!$B$14&amp; Show!$B$14&amp;"SR.25.03.01.02 Rows{Z}@ForceFilingCode:false","")</f>
        <v/>
      </c>
    </row>
    <row r="896" spans="1:2">
      <c r="A896" t="str">
        <f>IF(AND(LEFT('SR.01.01.01'!$D$27,8)&lt;&gt;"Reported",'SR.01.01.01'!$D$27&lt;&gt;""),Show!$B$14 &amp; "SR.25.03.01.03 Rows{Z}@ForceFilingCode:false","")</f>
        <v/>
      </c>
      <c r="B896" t="str">
        <f>IF(AND(LEFT('SR.01.01.01'!$D$27,8)&lt;&gt;"Reported",'SR.01.01.01'!$D$27&lt;&gt;""),Show!$B$14&amp; Show!$B$14&amp;"SR.25.03.01.03 Rows{Z}@ForceFilingCode:false","")</f>
        <v/>
      </c>
    </row>
    <row r="897" spans="1:2">
      <c r="A897" t="str">
        <f>IF(AND(LEFT('SR.01.01.01'!$D$27,8)&lt;&gt;"Reported",'SR.01.01.01'!$D$27&lt;&gt;""),Show!$B$14 &amp; "SR.25.03.01.04 Rows{Z}@ForceFilingCode:false","")</f>
        <v/>
      </c>
      <c r="B897" t="str">
        <f>IF(AND(LEFT('SR.01.01.01'!$D$27,8)&lt;&gt;"Reported",'SR.01.01.01'!$D$27&lt;&gt;""),Show!$B$14&amp; Show!$B$14&amp;"SR.25.03.01.04 Rows{Z}@ForceFilingCode:false","")</f>
        <v/>
      </c>
    </row>
    <row r="898" spans="1:2">
      <c r="A898" t="str">
        <f>IF(AND(LEFT('SR.01.01.01'!$D$27,8)&lt;&gt;"Reported",'SR.01.01.01'!$D$27&lt;&gt;""),Show!$B$14 &amp; "SR.25.03.01.05 Rows{Z}@ForceFilingCode:false","")</f>
        <v/>
      </c>
      <c r="B898" t="str">
        <f>IF(AND(LEFT('SR.01.01.01'!$D$27,8)&lt;&gt;"Reported",'SR.01.01.01'!$D$27&lt;&gt;""),Show!$B$14&amp; Show!$B$14&amp;"SR.25.03.01.05 Rows{Z}@ForceFilingCode:false","")</f>
        <v/>
      </c>
    </row>
    <row r="899" spans="1:2">
      <c r="A899" t="str">
        <f>IF(AND(LEFT('SR.01.01.01'!$D$28,8)&lt;&gt;"Reported",'SR.01.01.01'!$D$28&lt;&gt;""),Show!$B$14 &amp; "SR.26.01.01.01 Rows{Z}@ForceFilingCode:false","")</f>
        <v/>
      </c>
      <c r="B899" t="str">
        <f>IF(AND(LEFT('SR.01.01.01'!$D$28,8)&lt;&gt;"Reported",'SR.01.01.01'!$D$28&lt;&gt;""),Show!$B$14&amp; Show!$B$14&amp;"SR.26.01.01.01 Rows{Z}@ForceFilingCode:false","")</f>
        <v/>
      </c>
    </row>
    <row r="900" spans="1:2">
      <c r="A900" t="str">
        <f>IF(AND(LEFT('SR.01.01.01'!$D$28,8)&lt;&gt;"Reported",'SR.01.01.01'!$D$28&lt;&gt;""),Show!$B$14 &amp; "SR.26.01.01.02 Rows{Z}@ForceFilingCode:false","")</f>
        <v/>
      </c>
      <c r="B900" t="str">
        <f>IF(AND(LEFT('SR.01.01.01'!$D$28,8)&lt;&gt;"Reported",'SR.01.01.01'!$D$28&lt;&gt;""),Show!$B$14&amp; Show!$B$14&amp;"SR.26.01.01.02 Rows{Z}@ForceFilingCode:false","")</f>
        <v/>
      </c>
    </row>
    <row r="901" spans="1:2">
      <c r="A901" t="str">
        <f>IF(AND(LEFT('SR.01.01.01'!$D$28,8)&lt;&gt;"Reported",'SR.01.01.01'!$D$28&lt;&gt;""),Show!$B$14 &amp; "SR.26.01.01.03 Rows{Z}@ForceFilingCode:false","")</f>
        <v/>
      </c>
      <c r="B901" t="str">
        <f>IF(AND(LEFT('SR.01.01.01'!$D$28,8)&lt;&gt;"Reported",'SR.01.01.01'!$D$28&lt;&gt;""),Show!$B$14&amp; Show!$B$14&amp;"SR.26.01.01.03 Rows{Z}@ForceFilingCode:false","")</f>
        <v/>
      </c>
    </row>
    <row r="902" spans="1:2">
      <c r="A902" t="str">
        <f>IF(AND(LEFT('SR.01.01.01'!$D$29,8)&lt;&gt;"Reported",'SR.01.01.01'!$D$29&lt;&gt;""),Show!$B$14 &amp; "SR.26.02.01.01 Rows{Z}@ForceFilingCode:false","")</f>
        <v/>
      </c>
      <c r="B902" t="str">
        <f>IF(AND(LEFT('SR.01.01.01'!$D$29,8)&lt;&gt;"Reported",'SR.01.01.01'!$D$29&lt;&gt;""),Show!$B$14&amp; Show!$B$14&amp;"SR.26.02.01.01 Rows{Z}@ForceFilingCode:false","")</f>
        <v/>
      </c>
    </row>
    <row r="903" spans="1:2">
      <c r="A903" t="str">
        <f>IF(AND(LEFT('SR.01.01.01'!$D$29,8)&lt;&gt;"Reported",'SR.01.01.01'!$D$29&lt;&gt;""),Show!$B$14 &amp; "SR.26.02.01.02 Rows{Z}@ForceFilingCode:false","")</f>
        <v/>
      </c>
      <c r="B903" t="str">
        <f>IF(AND(LEFT('SR.01.01.01'!$D$29,8)&lt;&gt;"Reported",'SR.01.01.01'!$D$29&lt;&gt;""),Show!$B$14&amp; Show!$B$14&amp;"SR.26.02.01.02 Rows{Z}@ForceFilingCode:false","")</f>
        <v/>
      </c>
    </row>
    <row r="904" spans="1:2">
      <c r="A904" t="str">
        <f>IF(AND(LEFT('SR.01.01.01'!$D$30,8)&lt;&gt;"Reported",'SR.01.01.01'!$D$30&lt;&gt;""),Show!$B$14 &amp; "SR.26.03.01.01 Rows{Z}@ForceFilingCode:false","")</f>
        <v/>
      </c>
      <c r="B904" t="str">
        <f>IF(AND(LEFT('SR.01.01.01'!$D$30,8)&lt;&gt;"Reported",'SR.01.01.01'!$D$30&lt;&gt;""),Show!$B$14&amp; Show!$B$14&amp;"SR.26.03.01.01 Rows{Z}@ForceFilingCode:false","")</f>
        <v/>
      </c>
    </row>
    <row r="905" spans="1:2">
      <c r="A905" t="str">
        <f>IF(AND(LEFT('SR.01.01.01'!$D$30,8)&lt;&gt;"Reported",'SR.01.01.01'!$D$30&lt;&gt;""),Show!$B$14 &amp; "SR.26.03.01.02 Rows{Z}@ForceFilingCode:false","")</f>
        <v/>
      </c>
      <c r="B905" t="str">
        <f>IF(AND(LEFT('SR.01.01.01'!$D$30,8)&lt;&gt;"Reported",'SR.01.01.01'!$D$30&lt;&gt;""),Show!$B$14&amp; Show!$B$14&amp;"SR.26.03.01.02 Rows{Z}@ForceFilingCode:false","")</f>
        <v/>
      </c>
    </row>
    <row r="906" spans="1:2">
      <c r="A906" t="str">
        <f>IF(AND(LEFT('SR.01.01.01'!$D$30,8)&lt;&gt;"Reported",'SR.01.01.01'!$D$30&lt;&gt;""),Show!$B$14 &amp; "SR.26.03.01.03 Rows{Z}@ForceFilingCode:false","")</f>
        <v/>
      </c>
      <c r="B906" t="str">
        <f>IF(AND(LEFT('SR.01.01.01'!$D$30,8)&lt;&gt;"Reported",'SR.01.01.01'!$D$30&lt;&gt;""),Show!$B$14&amp; Show!$B$14&amp;"SR.26.03.01.03 Rows{Z}@ForceFilingCode:false","")</f>
        <v/>
      </c>
    </row>
    <row r="907" spans="1:2">
      <c r="A907" t="str">
        <f>IF(AND(LEFT('SR.01.01.01'!$D$30,8)&lt;&gt;"Reported",'SR.01.01.01'!$D$30&lt;&gt;""),Show!$B$14 &amp; "SR.26.03.01.04 Rows{Z}@ForceFilingCode:false","")</f>
        <v/>
      </c>
      <c r="B907" t="str">
        <f>IF(AND(LEFT('SR.01.01.01'!$D$30,8)&lt;&gt;"Reported",'SR.01.01.01'!$D$30&lt;&gt;""),Show!$B$14&amp; Show!$B$14&amp;"SR.26.03.01.04 Rows{Z}@ForceFilingCode:false","")</f>
        <v/>
      </c>
    </row>
    <row r="908" spans="1:2">
      <c r="A908" t="str">
        <f>IF(AND(LEFT('SR.01.01.01'!$D$31,8)&lt;&gt;"Reported",'SR.01.01.01'!$D$31&lt;&gt;""),Show!$B$14 &amp; "SR.26.04.01.01 Rows{Z}@ForceFilingCode:false","")</f>
        <v/>
      </c>
      <c r="B908" t="str">
        <f>IF(AND(LEFT('SR.01.01.01'!$D$31,8)&lt;&gt;"Reported",'SR.01.01.01'!$D$31&lt;&gt;""),Show!$B$14&amp; Show!$B$14&amp;"SR.26.04.01.01 Rows{Z}@ForceFilingCode:false","")</f>
        <v/>
      </c>
    </row>
    <row r="909" spans="1:2">
      <c r="A909" t="str">
        <f>IF(AND(LEFT('SR.01.01.01'!$D$31,8)&lt;&gt;"Reported",'SR.01.01.01'!$D$31&lt;&gt;""),Show!$B$14 &amp; "SR.26.04.01.02 Rows{Z}@ForceFilingCode:false","")</f>
        <v/>
      </c>
      <c r="B909" t="str">
        <f>IF(AND(LEFT('SR.01.01.01'!$D$31,8)&lt;&gt;"Reported",'SR.01.01.01'!$D$31&lt;&gt;""),Show!$B$14&amp; Show!$B$14&amp;"SR.26.04.01.02 Rows{Z}@ForceFilingCode:false","")</f>
        <v/>
      </c>
    </row>
    <row r="910" spans="1:2">
      <c r="A910" t="str">
        <f>IF(AND(LEFT('SR.01.01.01'!$D$31,8)&lt;&gt;"Reported",'SR.01.01.01'!$D$31&lt;&gt;""),Show!$B$14 &amp; "SR.26.04.01.03 Rows{Z}@ForceFilingCode:false","")</f>
        <v/>
      </c>
      <c r="B910" t="str">
        <f>IF(AND(LEFT('SR.01.01.01'!$D$31,8)&lt;&gt;"Reported",'SR.01.01.01'!$D$31&lt;&gt;""),Show!$B$14&amp; Show!$B$14&amp;"SR.26.04.01.03 Rows{Z}@ForceFilingCode:false","")</f>
        <v/>
      </c>
    </row>
    <row r="911" spans="1:2">
      <c r="A911" t="str">
        <f>IF(AND(LEFT('SR.01.01.01'!$D$31,8)&lt;&gt;"Reported",'SR.01.01.01'!$D$31&lt;&gt;""),Show!$B$14 &amp; "SR.26.04.01.04 Rows{Z}@ForceFilingCode:false","")</f>
        <v/>
      </c>
      <c r="B911" t="str">
        <f>IF(AND(LEFT('SR.01.01.01'!$D$31,8)&lt;&gt;"Reported",'SR.01.01.01'!$D$31&lt;&gt;""),Show!$B$14&amp; Show!$B$14&amp;"SR.26.04.01.04 Rows{Z}@ForceFilingCode:false","")</f>
        <v/>
      </c>
    </row>
    <row r="912" spans="1:2">
      <c r="A912" t="str">
        <f>IF(AND(LEFT('SR.01.01.01'!$D$31,8)&lt;&gt;"Reported",'SR.01.01.01'!$D$31&lt;&gt;""),Show!$B$14 &amp; "SR.26.04.01.05 Rows{Z}@ForceFilingCode:false","")</f>
        <v/>
      </c>
      <c r="B912" t="str">
        <f>IF(AND(LEFT('SR.01.01.01'!$D$31,8)&lt;&gt;"Reported",'SR.01.01.01'!$D$31&lt;&gt;""),Show!$B$14&amp; Show!$B$14&amp;"SR.26.04.01.05 Rows{Z}@ForceFilingCode:false","")</f>
        <v/>
      </c>
    </row>
    <row r="913" spans="1:2">
      <c r="A913" t="str">
        <f>IF(AND(LEFT('SR.01.01.01'!$D$31,8)&lt;&gt;"Reported",'SR.01.01.01'!$D$31&lt;&gt;""),Show!$B$14 &amp; "SR.26.04.01.06 Rows{Z}@ForceFilingCode:false","")</f>
        <v/>
      </c>
      <c r="B913" t="str">
        <f>IF(AND(LEFT('SR.01.01.01'!$D$31,8)&lt;&gt;"Reported",'SR.01.01.01'!$D$31&lt;&gt;""),Show!$B$14&amp; Show!$B$14&amp;"SR.26.04.01.06 Rows{Z}@ForceFilingCode:false","")</f>
        <v/>
      </c>
    </row>
    <row r="914" spans="1:2">
      <c r="A914" t="str">
        <f>IF(AND(LEFT('SR.01.01.01'!$D$31,8)&lt;&gt;"Reported",'SR.01.01.01'!$D$31&lt;&gt;""),Show!$B$14 &amp; "SR.26.04.01.07 Rows{Z}@ForceFilingCode:false","")</f>
        <v/>
      </c>
      <c r="B914" t="str">
        <f>IF(AND(LEFT('SR.01.01.01'!$D$31,8)&lt;&gt;"Reported",'SR.01.01.01'!$D$31&lt;&gt;""),Show!$B$14&amp; Show!$B$14&amp;"SR.26.04.01.07 Rows{Z}@ForceFilingCode:false","")</f>
        <v/>
      </c>
    </row>
    <row r="915" spans="1:2">
      <c r="A915" t="str">
        <f>IF(AND(LEFT('SR.01.01.01'!$D$31,8)&lt;&gt;"Reported",'SR.01.01.01'!$D$31&lt;&gt;""),Show!$B$14 &amp; "SR.26.04.01.08 Rows{Z}@ForceFilingCode:false","")</f>
        <v/>
      </c>
      <c r="B915" t="str">
        <f>IF(AND(LEFT('SR.01.01.01'!$D$31,8)&lt;&gt;"Reported",'SR.01.01.01'!$D$31&lt;&gt;""),Show!$B$14&amp; Show!$B$14&amp;"SR.26.04.01.08 Rows{Z}@ForceFilingCode:false","")</f>
        <v/>
      </c>
    </row>
    <row r="916" spans="1:2">
      <c r="A916" t="str">
        <f>IF(AND(LEFT('SR.01.01.01'!$D$31,8)&lt;&gt;"Reported",'SR.01.01.01'!$D$31&lt;&gt;""),Show!$B$14 &amp; "SR.26.04.01.09 Rows{Z}@ForceFilingCode:false","")</f>
        <v/>
      </c>
      <c r="B916" t="str">
        <f>IF(AND(LEFT('SR.01.01.01'!$D$31,8)&lt;&gt;"Reported",'SR.01.01.01'!$D$31&lt;&gt;""),Show!$B$14&amp; Show!$B$14&amp;"SR.26.04.01.09 Rows{Z}@ForceFilingCode:false","")</f>
        <v/>
      </c>
    </row>
    <row r="917" spans="1:2">
      <c r="A917" t="str">
        <f>IF(AND(LEFT('SR.01.01.01'!$D$32,8)&lt;&gt;"Reported",'SR.01.01.01'!$D$32&lt;&gt;""),Show!$B$14 &amp; "SR.26.05.01.01 Rows{Z}@ForceFilingCode:false","")</f>
        <v/>
      </c>
      <c r="B917" t="str">
        <f>IF(AND(LEFT('SR.01.01.01'!$D$32,8)&lt;&gt;"Reported",'SR.01.01.01'!$D$32&lt;&gt;""),Show!$B$14&amp; Show!$B$14&amp;"SR.26.05.01.01 Rows{Z}@ForceFilingCode:false","")</f>
        <v/>
      </c>
    </row>
    <row r="918" spans="1:2">
      <c r="A918" t="str">
        <f>IF(AND(LEFT('SR.01.01.01'!$D$32,8)&lt;&gt;"Reported",'SR.01.01.01'!$D$32&lt;&gt;""),Show!$B$14 &amp; "SR.26.05.01.02 Rows{Z}@ForceFilingCode:false","")</f>
        <v/>
      </c>
      <c r="B918" t="str">
        <f>IF(AND(LEFT('SR.01.01.01'!$D$32,8)&lt;&gt;"Reported",'SR.01.01.01'!$D$32&lt;&gt;""),Show!$B$14&amp; Show!$B$14&amp;"SR.26.05.01.02 Rows{Z}@ForceFilingCode:false","")</f>
        <v/>
      </c>
    </row>
    <row r="919" spans="1:2">
      <c r="A919" t="str">
        <f>IF(AND(LEFT('SR.01.01.01'!$D$32,8)&lt;&gt;"Reported",'SR.01.01.01'!$D$32&lt;&gt;""),Show!$B$14 &amp; "SR.26.05.01.03 Rows{Z}@ForceFilingCode:false","")</f>
        <v/>
      </c>
      <c r="B919" t="str">
        <f>IF(AND(LEFT('SR.01.01.01'!$D$32,8)&lt;&gt;"Reported",'SR.01.01.01'!$D$32&lt;&gt;""),Show!$B$14&amp; Show!$B$14&amp;"SR.26.05.01.03 Rows{Z}@ForceFilingCode:false","")</f>
        <v/>
      </c>
    </row>
    <row r="920" spans="1:2">
      <c r="A920" t="str">
        <f>IF(AND(LEFT('SR.01.01.01'!$D$32,8)&lt;&gt;"Reported",'SR.01.01.01'!$D$32&lt;&gt;""),Show!$B$14 &amp; "SR.26.05.01.04 Rows{Z}@ForceFilingCode:false","")</f>
        <v/>
      </c>
      <c r="B920" t="str">
        <f>IF(AND(LEFT('SR.01.01.01'!$D$32,8)&lt;&gt;"Reported",'SR.01.01.01'!$D$32&lt;&gt;""),Show!$B$14&amp; Show!$B$14&amp;"SR.26.05.01.04 Rows{Z}@ForceFilingCode:false","")</f>
        <v/>
      </c>
    </row>
    <row r="921" spans="1:2">
      <c r="A921" t="str">
        <f>IF(AND(LEFT('SR.01.01.01'!$D$32,8)&lt;&gt;"Reported",'SR.01.01.01'!$D$32&lt;&gt;""),Show!$B$14 &amp; "SR.26.05.01.05 Rows{Z}@ForceFilingCode:false","")</f>
        <v/>
      </c>
      <c r="B921" t="str">
        <f>IF(AND(LEFT('SR.01.01.01'!$D$32,8)&lt;&gt;"Reported",'SR.01.01.01'!$D$32&lt;&gt;""),Show!$B$14&amp; Show!$B$14&amp;"SR.26.05.01.05 Rows{Z}@ForceFilingCode:false","")</f>
        <v/>
      </c>
    </row>
    <row r="922" spans="1:2">
      <c r="A922" t="str">
        <f>IF(AND(LEFT('SR.01.01.01'!$D$33,8)&lt;&gt;"Reported",'SR.01.01.01'!$D$33&lt;&gt;""),Show!$B$14 &amp; "SR.26.06.01.01 Rows{Z}@ForceFilingCode:false","")</f>
        <v/>
      </c>
      <c r="B922" t="str">
        <f>IF(AND(LEFT('SR.01.01.01'!$D$33,8)&lt;&gt;"Reported",'SR.01.01.01'!$D$33&lt;&gt;""),Show!$B$14&amp; Show!$B$14&amp;"SR.26.06.01.01 Rows{Z}@ForceFilingCode:false","")</f>
        <v/>
      </c>
    </row>
    <row r="923" spans="1:2">
      <c r="A923" t="str">
        <f>IF(AND(LEFT('SR.01.01.01'!$D$34,8)&lt;&gt;"Reported",'SR.01.01.01'!$D$34&lt;&gt;""),Show!$B$14 &amp; "SR.26.07.01.01 Rows{Z}@ForceFilingCode:false","")</f>
        <v/>
      </c>
      <c r="B923" t="str">
        <f>IF(AND(LEFT('SR.01.01.01'!$D$34,8)&lt;&gt;"Reported",'SR.01.01.01'!$D$34&lt;&gt;""),Show!$B$14&amp; Show!$B$14&amp;"SR.26.07.01.01 Rows{Z}@ForceFilingCode:false","")</f>
        <v/>
      </c>
    </row>
    <row r="924" spans="1:2">
      <c r="A924" t="str">
        <f>IF(AND(LEFT('SR.01.01.01'!$D$34,8)&lt;&gt;"Reported",'SR.01.01.01'!$D$34&lt;&gt;""),Show!$B$14 &amp; "SR.26.07.01.02 Rows{Z}@ForceFilingCode:false","")</f>
        <v/>
      </c>
      <c r="B924" t="str">
        <f>IF(AND(LEFT('SR.01.01.01'!$D$34,8)&lt;&gt;"Reported",'SR.01.01.01'!$D$34&lt;&gt;""),Show!$B$14&amp; Show!$B$14&amp;"SR.26.07.01.02 Rows{Z}@ForceFilingCode:false","")</f>
        <v/>
      </c>
    </row>
    <row r="925" spans="1:2">
      <c r="A925" t="str">
        <f>IF(AND(LEFT('SR.01.01.01'!$D$34,8)&lt;&gt;"Reported",'SR.01.01.01'!$D$34&lt;&gt;""),Show!$B$14 &amp; "SR.26.07.01.03 Rows{Z}@ForceFilingCode:false","")</f>
        <v/>
      </c>
      <c r="B925" t="str">
        <f>IF(AND(LEFT('SR.01.01.01'!$D$34,8)&lt;&gt;"Reported",'SR.01.01.01'!$D$34&lt;&gt;""),Show!$B$14&amp; Show!$B$14&amp;"SR.26.07.01.03 Rows{Z}@ForceFilingCode:false","")</f>
        <v/>
      </c>
    </row>
    <row r="926" spans="1:2">
      <c r="A926" t="str">
        <f>IF(AND(LEFT('SR.01.01.01'!$D$34,8)&lt;&gt;"Reported",'SR.01.01.01'!$D$34&lt;&gt;""),Show!$B$14 &amp; "SR.26.07.01.04 Rows{Z}@ForceFilingCode:false","")</f>
        <v/>
      </c>
      <c r="B926" t="str">
        <f>IF(AND(LEFT('SR.01.01.01'!$D$34,8)&lt;&gt;"Reported",'SR.01.01.01'!$D$34&lt;&gt;""),Show!$B$14&amp; Show!$B$14&amp;"SR.26.07.01.04 Rows{Z}@ForceFilingCode:false","")</f>
        <v/>
      </c>
    </row>
    <row r="927" spans="1:2">
      <c r="A927" t="str">
        <f>IF(AND(LEFT('SR.01.01.01'!$D$34,8)&lt;&gt;"Reported",'SR.01.01.01'!$D$34&lt;&gt;""),Show!$B$14 &amp; "SR.26.07.01.05 Rows{Z}@ForceFilingCode:false","")</f>
        <v/>
      </c>
      <c r="B927" t="str">
        <f>IF(AND(LEFT('SR.01.01.01'!$D$34,8)&lt;&gt;"Reported",'SR.01.01.01'!$D$34&lt;&gt;""),Show!$B$14&amp; Show!$B$14&amp;"SR.26.07.01.05 Rows{Z}@ForceFilingCode:false","")</f>
        <v/>
      </c>
    </row>
    <row r="928" spans="1:2">
      <c r="A928" t="str">
        <f>IF(AND(LEFT('SR.01.01.01'!$D$34,8)&lt;&gt;"Reported",'SR.01.01.01'!$D$34&lt;&gt;""),Show!$B$14 &amp; "SR.26.07.01.06 Rows{Z}@ForceFilingCode:false","")</f>
        <v/>
      </c>
      <c r="B928" t="str">
        <f>IF(AND(LEFT('SR.01.01.01'!$D$34,8)&lt;&gt;"Reported",'SR.01.01.01'!$D$34&lt;&gt;""),Show!$B$14&amp; Show!$B$14&amp;"SR.26.07.01.06 Rows{Z}@ForceFilingCode:false","")</f>
        <v/>
      </c>
    </row>
    <row r="929" spans="1:2">
      <c r="A929" t="str">
        <f>IF(AND(LEFT('SR.01.01.01'!$D$35,8)&lt;&gt;"Reported",'SR.01.01.01'!$D$35&lt;&gt;""),Show!$B$14 &amp; "SR.27.01.01.01 Rows{Z}@ForceFilingCode:false","")</f>
        <v/>
      </c>
      <c r="B929" t="str">
        <f>IF(AND(LEFT('SR.01.01.01'!$D$35,8)&lt;&gt;"Reported",'SR.01.01.01'!$D$35&lt;&gt;""),Show!$B$14&amp; Show!$B$14&amp;"SR.27.01.01.01 Rows{Z}@ForceFilingCode:false","")</f>
        <v/>
      </c>
    </row>
    <row r="930" spans="1:2">
      <c r="A930" t="str">
        <f>IF(AND(LEFT('SR.01.01.01'!$D$35,8)&lt;&gt;"Reported",'SR.01.01.01'!$D$35&lt;&gt;""),Show!$B$14 &amp; "SR.27.01.01.02 Rows{Z}@ForceFilingCode:false","")</f>
        <v/>
      </c>
      <c r="B930" t="str">
        <f>IF(AND(LEFT('SR.01.01.01'!$D$35,8)&lt;&gt;"Reported",'SR.01.01.01'!$D$35&lt;&gt;""),Show!$B$14&amp; Show!$B$14&amp;"SR.27.01.01.02 Rows{Z}@ForceFilingCode:false","")</f>
        <v/>
      </c>
    </row>
    <row r="931" spans="1:2">
      <c r="A931" t="str">
        <f>IF(AND(LEFT('SR.01.01.01'!$D$35,8)&lt;&gt;"Reported",'SR.01.01.01'!$D$35&lt;&gt;""),Show!$B$14 &amp; "SR.27.01.01.03 Rows{Z}@ForceFilingCode:false","")</f>
        <v/>
      </c>
      <c r="B931" t="str">
        <f>IF(AND(LEFT('SR.01.01.01'!$D$35,8)&lt;&gt;"Reported",'SR.01.01.01'!$D$35&lt;&gt;""),Show!$B$14&amp; Show!$B$14&amp;"SR.27.01.01.03 Rows{Z}@ForceFilingCode:false","")</f>
        <v/>
      </c>
    </row>
    <row r="932" spans="1:2">
      <c r="A932" t="str">
        <f>IF(AND(LEFT('SR.01.01.01'!$D$35,8)&lt;&gt;"Reported",'SR.01.01.01'!$D$35&lt;&gt;""),Show!$B$14 &amp; "SR.27.01.01.04 Rows{Z}@ForceFilingCode:false","")</f>
        <v/>
      </c>
      <c r="B932" t="str">
        <f>IF(AND(LEFT('SR.01.01.01'!$D$35,8)&lt;&gt;"Reported",'SR.01.01.01'!$D$35&lt;&gt;""),Show!$B$14&amp; Show!$B$14&amp;"SR.27.01.01.04 Rows{Z}@ForceFilingCode:false","")</f>
        <v/>
      </c>
    </row>
    <row r="933" spans="1:2">
      <c r="A933" t="str">
        <f>IF(AND(LEFT('SR.01.01.01'!$D$35,8)&lt;&gt;"Reported",'SR.01.01.01'!$D$35&lt;&gt;""),Show!$B$14 &amp; "SR.27.01.01.05 Rows{Z}@ForceFilingCode:false","")</f>
        <v/>
      </c>
      <c r="B933" t="str">
        <f>IF(AND(LEFT('SR.01.01.01'!$D$35,8)&lt;&gt;"Reported",'SR.01.01.01'!$D$35&lt;&gt;""),Show!$B$14&amp; Show!$B$14&amp;"SR.27.01.01.05 Rows{Z}@ForceFilingCode:false","")</f>
        <v/>
      </c>
    </row>
    <row r="934" spans="1:2">
      <c r="A934" t="str">
        <f>IF(AND(LEFT('SR.01.01.01'!$D$35,8)&lt;&gt;"Reported",'SR.01.01.01'!$D$35&lt;&gt;""),Show!$B$14 &amp; "SR.27.01.01.06 Rows{Z}@ForceFilingCode:false","")</f>
        <v/>
      </c>
      <c r="B934" t="str">
        <f>IF(AND(LEFT('SR.01.01.01'!$D$35,8)&lt;&gt;"Reported",'SR.01.01.01'!$D$35&lt;&gt;""),Show!$B$14&amp; Show!$B$14&amp;"SR.27.01.01.06 Rows{Z}@ForceFilingCode:false","")</f>
        <v/>
      </c>
    </row>
    <row r="935" spans="1:2">
      <c r="A935" t="str">
        <f>IF(AND(LEFT('SR.01.01.01'!$D$35,8)&lt;&gt;"Reported",'SR.01.01.01'!$D$35&lt;&gt;""),Show!$B$14 &amp; "SR.27.01.01.07 Rows{Z}@ForceFilingCode:false","")</f>
        <v/>
      </c>
      <c r="B935" t="str">
        <f>IF(AND(LEFT('SR.01.01.01'!$D$35,8)&lt;&gt;"Reported",'SR.01.01.01'!$D$35&lt;&gt;""),Show!$B$14&amp; Show!$B$14&amp;"SR.27.01.01.07 Rows{Z}@ForceFilingCode:false","")</f>
        <v/>
      </c>
    </row>
    <row r="936" spans="1:2">
      <c r="A936" t="str">
        <f>IF(AND(LEFT('SR.01.01.01'!$D$35,8)&lt;&gt;"Reported",'SR.01.01.01'!$D$35&lt;&gt;""),Show!$B$14 &amp; "SR.27.01.01.08 Rows{Z}@ForceFilingCode:false","")</f>
        <v/>
      </c>
      <c r="B936" t="str">
        <f>IF(AND(LEFT('SR.01.01.01'!$D$35,8)&lt;&gt;"Reported",'SR.01.01.01'!$D$35&lt;&gt;""),Show!$B$14&amp; Show!$B$14&amp;"SR.27.01.01.08 Rows{Z}@ForceFilingCode:false","")</f>
        <v/>
      </c>
    </row>
    <row r="937" spans="1:2">
      <c r="A937" t="str">
        <f>IF(AND(LEFT('SR.01.01.01'!$D$35,8)&lt;&gt;"Reported",'SR.01.01.01'!$D$35&lt;&gt;""),Show!$B$14 &amp; "SR.27.01.01.09 Rows{Z}@ForceFilingCode:false","")</f>
        <v/>
      </c>
      <c r="B937" t="str">
        <f>IF(AND(LEFT('SR.01.01.01'!$D$35,8)&lt;&gt;"Reported",'SR.01.01.01'!$D$35&lt;&gt;""),Show!$B$14&amp; Show!$B$14&amp;"SR.27.01.01.09 Rows{Z}@ForceFilingCode:false","")</f>
        <v/>
      </c>
    </row>
    <row r="938" spans="1:2">
      <c r="A938" t="str">
        <f>IF(AND(LEFT('SR.01.01.01'!$D$35,8)&lt;&gt;"Reported",'SR.01.01.01'!$D$35&lt;&gt;""),Show!$B$14 &amp; "SR.27.01.01.10 Rows{Z}@ForceFilingCode:false","")</f>
        <v/>
      </c>
      <c r="B938" t="str">
        <f>IF(AND(LEFT('SR.01.01.01'!$D$35,8)&lt;&gt;"Reported",'SR.01.01.01'!$D$35&lt;&gt;""),Show!$B$14&amp; Show!$B$14&amp;"SR.27.01.01.10 Rows{Z}@ForceFilingCode:false","")</f>
        <v/>
      </c>
    </row>
    <row r="939" spans="1:2">
      <c r="A939" t="str">
        <f>IF(AND(LEFT('SR.01.01.01'!$D$35,8)&lt;&gt;"Reported",'SR.01.01.01'!$D$35&lt;&gt;""),Show!$B$14 &amp; "SR.27.01.01.11 Rows{Z}@ForceFilingCode:false","")</f>
        <v/>
      </c>
      <c r="B939" t="str">
        <f>IF(AND(LEFT('SR.01.01.01'!$D$35,8)&lt;&gt;"Reported",'SR.01.01.01'!$D$35&lt;&gt;""),Show!$B$14&amp; Show!$B$14&amp;"SR.27.01.01.11 Rows{Z}@ForceFilingCode:false","")</f>
        <v/>
      </c>
    </row>
    <row r="940" spans="1:2">
      <c r="A940" t="str">
        <f>IF(AND(LEFT('SR.01.01.01'!$D$35,8)&lt;&gt;"Reported",'SR.01.01.01'!$D$35&lt;&gt;""),Show!$B$14 &amp; "SR.27.01.01.12 Rows{Z}@ForceFilingCode:false","")</f>
        <v/>
      </c>
      <c r="B940" t="str">
        <f>IF(AND(LEFT('SR.01.01.01'!$D$35,8)&lt;&gt;"Reported",'SR.01.01.01'!$D$35&lt;&gt;""),Show!$B$14&amp; Show!$B$14&amp;"SR.27.01.01.12 Rows{Z}@ForceFilingCode:false","")</f>
        <v/>
      </c>
    </row>
    <row r="941" spans="1:2">
      <c r="A941" t="str">
        <f>IF(AND(LEFT('SR.01.01.01'!$D$35,8)&lt;&gt;"Reported",'SR.01.01.01'!$D$35&lt;&gt;""),Show!$B$14 &amp; "SR.27.01.01.13 Rows{Z}@ForceFilingCode:false","")</f>
        <v/>
      </c>
      <c r="B941" t="str">
        <f>IF(AND(LEFT('SR.01.01.01'!$D$35,8)&lt;&gt;"Reported",'SR.01.01.01'!$D$35&lt;&gt;""),Show!$B$14&amp; Show!$B$14&amp;"SR.27.01.01.13 Rows{Z}@ForceFilingCode:false","")</f>
        <v/>
      </c>
    </row>
    <row r="942" spans="1:2">
      <c r="A942" t="str">
        <f>IF(AND(LEFT('SR.01.01.01'!$D$35,8)&lt;&gt;"Reported",'SR.01.01.01'!$D$35&lt;&gt;""),Show!$B$14 &amp; "SR.27.01.01.14 Rows{Z}@ForceFilingCode:false","")</f>
        <v/>
      </c>
      <c r="B942" t="str">
        <f>IF(AND(LEFT('SR.01.01.01'!$D$35,8)&lt;&gt;"Reported",'SR.01.01.01'!$D$35&lt;&gt;""),Show!$B$14&amp; Show!$B$14&amp;"SR.27.01.01.14 Rows{Z}@ForceFilingCode:false","")</f>
        <v/>
      </c>
    </row>
    <row r="943" spans="1:2">
      <c r="A943" t="str">
        <f>IF(AND(LEFT('SR.01.01.01'!$D$35,8)&lt;&gt;"Reported",'SR.01.01.01'!$D$35&lt;&gt;""),Show!$B$14 &amp; "SR.27.01.01.15 Rows{Z}@ForceFilingCode:false","")</f>
        <v/>
      </c>
      <c r="B943" t="str">
        <f>IF(AND(LEFT('SR.01.01.01'!$D$35,8)&lt;&gt;"Reported",'SR.01.01.01'!$D$35&lt;&gt;""),Show!$B$14&amp; Show!$B$14&amp;"SR.27.01.01.15 Rows{Z}@ForceFilingCode:false","")</f>
        <v/>
      </c>
    </row>
    <row r="944" spans="1:2">
      <c r="A944" t="str">
        <f>IF(AND(LEFT('SR.01.01.01'!$D$35,8)&lt;&gt;"Reported",'SR.01.01.01'!$D$35&lt;&gt;""),Show!$B$14 &amp; "SR.27.01.01.16 Rows{Z}@ForceFilingCode:false","")</f>
        <v/>
      </c>
      <c r="B944" t="str">
        <f>IF(AND(LEFT('SR.01.01.01'!$D$35,8)&lt;&gt;"Reported",'SR.01.01.01'!$D$35&lt;&gt;""),Show!$B$14&amp; Show!$B$14&amp;"SR.27.01.01.16 Rows{Z}@ForceFilingCode:false","")</f>
        <v/>
      </c>
    </row>
    <row r="945" spans="1:2">
      <c r="A945" t="str">
        <f>IF(AND(LEFT('SR.01.01.01'!$D$35,8)&lt;&gt;"Reported",'SR.01.01.01'!$D$35&lt;&gt;""),Show!$B$14 &amp; "SR.27.01.01.17 Rows{Z}@ForceFilingCode:false","")</f>
        <v/>
      </c>
      <c r="B945" t="str">
        <f>IF(AND(LEFT('SR.01.01.01'!$D$35,8)&lt;&gt;"Reported",'SR.01.01.01'!$D$35&lt;&gt;""),Show!$B$14&amp; Show!$B$14&amp;"SR.27.01.01.17 Rows{Z}@ForceFilingCode:false","")</f>
        <v/>
      </c>
    </row>
    <row r="946" spans="1:2">
      <c r="A946" t="str">
        <f>IF(AND(LEFT('SR.01.01.01'!$D$35,8)&lt;&gt;"Reported",'SR.01.01.01'!$D$35&lt;&gt;""),Show!$B$14 &amp; "SR.27.01.01.18 Rows{Z}@ForceFilingCode:false","")</f>
        <v/>
      </c>
      <c r="B946" t="str">
        <f>IF(AND(LEFT('SR.01.01.01'!$D$35,8)&lt;&gt;"Reported",'SR.01.01.01'!$D$35&lt;&gt;""),Show!$B$14&amp; Show!$B$14&amp;"SR.27.01.01.18 Rows{Z}@ForceFilingCode:false","")</f>
        <v/>
      </c>
    </row>
    <row r="947" spans="1:2">
      <c r="A947" t="str">
        <f>IF(AND(LEFT('SR.01.01.01'!$D$35,8)&lt;&gt;"Reported",'SR.01.01.01'!$D$35&lt;&gt;""),Show!$B$14 &amp; "SR.27.01.01.19 Rows{Z}@ForceFilingCode:false","")</f>
        <v/>
      </c>
      <c r="B947" t="str">
        <f>IF(AND(LEFT('SR.01.01.01'!$D$35,8)&lt;&gt;"Reported",'SR.01.01.01'!$D$35&lt;&gt;""),Show!$B$14&amp; Show!$B$14&amp;"SR.27.01.01.19 Rows{Z}@ForceFilingCode:false","")</f>
        <v/>
      </c>
    </row>
    <row r="948" spans="1:2">
      <c r="A948" t="str">
        <f>IF(AND(LEFT('SR.01.01.01'!$D$35,8)&lt;&gt;"Reported",'SR.01.01.01'!$D$35&lt;&gt;""),Show!$B$14 &amp; "SR.27.01.01.20 Rows{Z}@ForceFilingCode:false","")</f>
        <v/>
      </c>
      <c r="B948" t="str">
        <f>IF(AND(LEFT('SR.01.01.01'!$D$35,8)&lt;&gt;"Reported",'SR.01.01.01'!$D$35&lt;&gt;""),Show!$B$14&amp; Show!$B$14&amp;"SR.27.01.01.20 Rows{Z}@ForceFilingCode:false","")</f>
        <v/>
      </c>
    </row>
    <row r="949" spans="1:2">
      <c r="A949" t="str">
        <f>IF(AND(LEFT('SR.01.01.01'!$D$35,8)&lt;&gt;"Reported",'SR.01.01.01'!$D$35&lt;&gt;""),Show!$B$14 &amp; "SR.27.01.01.21 Rows{Z}@ForceFilingCode:false","")</f>
        <v/>
      </c>
      <c r="B949" t="str">
        <f>IF(AND(LEFT('SR.01.01.01'!$D$35,8)&lt;&gt;"Reported",'SR.01.01.01'!$D$35&lt;&gt;""),Show!$B$14&amp; Show!$B$14&amp;"SR.27.01.01.21 Rows{Z}@ForceFilingCode:false","")</f>
        <v/>
      </c>
    </row>
    <row r="950" spans="1:2">
      <c r="A950" t="str">
        <f>IF(AND(LEFT('SR.01.01.01'!$D$35,8)&lt;&gt;"Reported",'SR.01.01.01'!$D$35&lt;&gt;""),Show!$B$14 &amp; "SR.27.01.01.22 Rows{Z}@ForceFilingCode:false","")</f>
        <v/>
      </c>
      <c r="B950" t="str">
        <f>IF(AND(LEFT('SR.01.01.01'!$D$35,8)&lt;&gt;"Reported",'SR.01.01.01'!$D$35&lt;&gt;""),Show!$B$14&amp; Show!$B$14&amp;"SR.27.01.01.22 Rows{Z}@ForceFilingCode:false","")</f>
        <v/>
      </c>
    </row>
    <row r="951" spans="1:2">
      <c r="A951" t="str">
        <f>IF(AND(LEFT('SR.01.01.01'!$D$35,8)&lt;&gt;"Reported",'SR.01.01.01'!$D$35&lt;&gt;""),Show!$B$14 &amp; "SR.27.01.01.23 Rows{Z}@ForceFilingCode:false","")</f>
        <v/>
      </c>
      <c r="B951" t="str">
        <f>IF(AND(LEFT('SR.01.01.01'!$D$35,8)&lt;&gt;"Reported",'SR.01.01.01'!$D$35&lt;&gt;""),Show!$B$14&amp; Show!$B$14&amp;"SR.27.01.01.23 Rows{Z}@ForceFilingCode:false","")</f>
        <v/>
      </c>
    </row>
    <row r="952" spans="1:2">
      <c r="A952" t="str">
        <f>IF(AND(LEFT('SR.01.01.01'!$D$35,8)&lt;&gt;"Reported",'SR.01.01.01'!$D$35&lt;&gt;""),Show!$B$14 &amp; "SR.27.01.01.24 Rows{Z}@ForceFilingCode:false","")</f>
        <v/>
      </c>
      <c r="B952" t="str">
        <f>IF(AND(LEFT('SR.01.01.01'!$D$35,8)&lt;&gt;"Reported",'SR.01.01.01'!$D$35&lt;&gt;""),Show!$B$14&amp; Show!$B$14&amp;"SR.27.01.01.24 Rows{Z}@ForceFilingCode:false","")</f>
        <v/>
      </c>
    </row>
    <row r="953" spans="1:2">
      <c r="A953" t="str">
        <f>IF(AND(LEFT('SR.01.01.01'!$D$35,8)&lt;&gt;"Reported",'SR.01.01.01'!$D$35&lt;&gt;""),Show!$B$14 &amp; "SR.27.01.01.25 Rows{Z}@ForceFilingCode:false","")</f>
        <v/>
      </c>
      <c r="B953" t="str">
        <f>IF(AND(LEFT('SR.01.01.01'!$D$35,8)&lt;&gt;"Reported",'SR.01.01.01'!$D$35&lt;&gt;""),Show!$B$14&amp; Show!$B$14&amp;"SR.27.01.01.25 Rows{Z}@ForceFilingCode:false","")</f>
        <v/>
      </c>
    </row>
    <row r="954" spans="1:2">
      <c r="A954" t="str">
        <f>IF(AND(LEFT('SR.01.01.01'!$D$35,8)&lt;&gt;"Reported",'SR.01.01.01'!$D$35&lt;&gt;""),Show!$B$14 &amp; "SR.27.01.01.26 Rows{Z}@ForceFilingCode:false","")</f>
        <v/>
      </c>
      <c r="B954" t="str">
        <f>IF(AND(LEFT('SR.01.01.01'!$D$35,8)&lt;&gt;"Reported",'SR.01.01.01'!$D$35&lt;&gt;""),Show!$B$14&amp; Show!$B$14&amp;"SR.27.01.01.26 Rows{Z}@ForceFilingCode:false","")</f>
        <v/>
      </c>
    </row>
    <row r="955" spans="1:2">
      <c r="A955" t="str">
        <f>IF(AND(LEFT('SR.01.01.01'!$D$35,8)&lt;&gt;"Reported",'SR.01.01.01'!$D$35&lt;&gt;""),Show!$B$14 &amp; "SR.27.01.01.27 Rows{Z}@ForceFilingCode:false","")</f>
        <v/>
      </c>
      <c r="B955" t="str">
        <f>IF(AND(LEFT('SR.01.01.01'!$D$35,8)&lt;&gt;"Reported",'SR.01.01.01'!$D$35&lt;&gt;""),Show!$B$14&amp; Show!$B$14&amp;"SR.27.01.01.27 Rows{Z}@ForceFilingCode:false","")</f>
        <v/>
      </c>
    </row>
    <row r="956" spans="1:2">
      <c r="A956" t="str">
        <f>IF(AND(LEFT('SR.01.01.01'!$D$35,8)&lt;&gt;"Reported",'SR.01.01.01'!$D$35&lt;&gt;""),Show!$B$14 &amp; "SR.27.01.01.28 Rows{Z}@ForceFilingCode:false","")</f>
        <v/>
      </c>
      <c r="B956" t="str">
        <f>IF(AND(LEFT('SR.01.01.01'!$D$35,8)&lt;&gt;"Reported",'SR.01.01.01'!$D$35&lt;&gt;""),Show!$B$14&amp; Show!$B$14&amp;"SR.27.01.01.28 Rows{Z}@ForceFilingCode:false","")</f>
        <v/>
      </c>
    </row>
    <row r="957" spans="1:2">
      <c r="A957" t="str">
        <f>IF(AND(LEFT('SR.01.01.04'!$D$20,8)&lt;&gt;"Reported",'SR.01.01.04'!$D$20&lt;&gt;""),Show!$B$15 &amp; "SR.02.01.01.01 Rows{Z}@ForceFilingCode:false","")</f>
        <v/>
      </c>
      <c r="B957" t="str">
        <f>IF(AND(LEFT('SR.01.01.04'!$D$20,8)&lt;&gt;"Reported",'SR.01.01.04'!$D$20&lt;&gt;""),Show!$B$15&amp; Show!$B$15&amp;"SR.02.01.01.01 Rows{Z}@ForceFilingCode:false","")</f>
        <v/>
      </c>
    </row>
    <row r="958" spans="1:2">
      <c r="A958" t="str">
        <f>IF(AND(LEFT('SR.01.01.04'!$D$21,8)&lt;&gt;"Reported",'SR.01.01.04'!$D$21&lt;&gt;""),Show!$B$15 &amp; "SR.25.01.04.01 Rows{Z}@ForceFilingCode:false","")</f>
        <v/>
      </c>
      <c r="B958" t="str">
        <f>IF(AND(LEFT('SR.01.01.04'!$D$21,8)&lt;&gt;"Reported",'SR.01.01.04'!$D$21&lt;&gt;""),Show!$B$15&amp; Show!$B$15&amp;"SR.25.01.04.01 Rows{Z}@ForceFilingCode:false","")</f>
        <v/>
      </c>
    </row>
    <row r="959" spans="1:2">
      <c r="A959" t="str">
        <f>IF(AND(LEFT('SR.01.01.04'!$D$21,8)&lt;&gt;"Reported",'SR.01.01.04'!$D$21&lt;&gt;""),Show!$B$15 &amp; "SR.25.01.04.02 Rows{Z}@ForceFilingCode:false","")</f>
        <v/>
      </c>
      <c r="B959" t="str">
        <f>IF(AND(LEFT('SR.01.01.04'!$D$21,8)&lt;&gt;"Reported",'SR.01.01.04'!$D$21&lt;&gt;""),Show!$B$15&amp; Show!$B$15&amp;"SR.25.01.04.02 Rows{Z}@ForceFilingCode:false","")</f>
        <v/>
      </c>
    </row>
    <row r="960" spans="1:2">
      <c r="A960" t="str">
        <f>IF(AND(LEFT('SR.01.01.04'!$D$22,8)&lt;&gt;"Reported",'SR.01.01.04'!$D$22&lt;&gt;""),Show!$B$15 &amp; "SR.25.02.04.01 Rows{Z}@ForceFilingCode:false","")</f>
        <v/>
      </c>
      <c r="B960" t="str">
        <f>IF(AND(LEFT('SR.01.01.04'!$D$22,8)&lt;&gt;"Reported",'SR.01.01.04'!$D$22&lt;&gt;""),Show!$B$15&amp; Show!$B$15&amp;"SR.25.02.04.01 Rows{Z}@ForceFilingCode:false","")</f>
        <v/>
      </c>
    </row>
    <row r="961" spans="1:2">
      <c r="A961" t="str">
        <f>IF(AND(LEFT('SR.01.01.04'!$D$22,8)&lt;&gt;"Reported",'SR.01.01.04'!$D$22&lt;&gt;""),Show!$B$15 &amp; "SR.25.02.04.02 Rows{Z}@ForceFilingCode:false","")</f>
        <v/>
      </c>
      <c r="B961" t="str">
        <f>IF(AND(LEFT('SR.01.01.04'!$D$22,8)&lt;&gt;"Reported",'SR.01.01.04'!$D$22&lt;&gt;""),Show!$B$15&amp; Show!$B$15&amp;"SR.25.02.04.02 Rows{Z}@ForceFilingCode:false","")</f>
        <v/>
      </c>
    </row>
    <row r="962" spans="1:2">
      <c r="A962" t="str">
        <f>IF(AND(LEFT('SR.01.01.04'!$D$23,8)&lt;&gt;"Reported",'SR.01.01.04'!$D$23&lt;&gt;""),Show!$B$15 &amp; "SR.25.03.04.01 Rows{Z}@ForceFilingCode:false","")</f>
        <v/>
      </c>
      <c r="B962" t="str">
        <f>IF(AND(LEFT('SR.01.01.04'!$D$23,8)&lt;&gt;"Reported",'SR.01.01.04'!$D$23&lt;&gt;""),Show!$B$15&amp; Show!$B$15&amp;"SR.25.03.04.01 Rows{Z}@ForceFilingCode:false","")</f>
        <v/>
      </c>
    </row>
    <row r="963" spans="1:2">
      <c r="A963" t="str">
        <f>IF(AND(LEFT('SR.01.01.04'!$D$23,8)&lt;&gt;"Reported",'SR.01.01.04'!$D$23&lt;&gt;""),Show!$B$15 &amp; "SR.25.03.04.02 Rows{Z}@ForceFilingCode:false","")</f>
        <v/>
      </c>
      <c r="B963" t="str">
        <f>IF(AND(LEFT('SR.01.01.04'!$D$23,8)&lt;&gt;"Reported",'SR.01.01.04'!$D$23&lt;&gt;""),Show!$B$15&amp; Show!$B$15&amp;"SR.25.03.04.02 Rows{Z}@ForceFilingCode:false","")</f>
        <v/>
      </c>
    </row>
    <row r="964" spans="1:2">
      <c r="A964" t="str">
        <f>IF(AND(LEFT('SR.01.01.04'!$D$24,8)&lt;&gt;"Reported",'SR.01.01.04'!$D$24&lt;&gt;""),Show!$B$15 &amp; "SR.26.01.01.01 Rows{Z}@ForceFilingCode:false","")</f>
        <v/>
      </c>
      <c r="B964" t="str">
        <f>IF(AND(LEFT('SR.01.01.04'!$D$24,8)&lt;&gt;"Reported",'SR.01.01.04'!$D$24&lt;&gt;""),Show!$B$15&amp; Show!$B$15&amp;"SR.26.01.01.01 Rows{Z}@ForceFilingCode:false","")</f>
        <v/>
      </c>
    </row>
    <row r="965" spans="1:2">
      <c r="A965" t="str">
        <f>IF(AND(LEFT('SR.01.01.04'!$D$24,8)&lt;&gt;"Reported",'SR.01.01.04'!$D$24&lt;&gt;""),Show!$B$15 &amp; "SR.26.01.01.02 Rows{Z}@ForceFilingCode:false","")</f>
        <v/>
      </c>
      <c r="B965" t="str">
        <f>IF(AND(LEFT('SR.01.01.04'!$D$24,8)&lt;&gt;"Reported",'SR.01.01.04'!$D$24&lt;&gt;""),Show!$B$15&amp; Show!$B$15&amp;"SR.26.01.01.02 Rows{Z}@ForceFilingCode:false","")</f>
        <v/>
      </c>
    </row>
    <row r="966" spans="1:2">
      <c r="A966" t="str">
        <f>IF(AND(LEFT('SR.01.01.04'!$D$24,8)&lt;&gt;"Reported",'SR.01.01.04'!$D$24&lt;&gt;""),Show!$B$15 &amp; "SR.26.01.01.03 Rows{Z}@ForceFilingCode:false","")</f>
        <v/>
      </c>
      <c r="B966" t="str">
        <f>IF(AND(LEFT('SR.01.01.04'!$D$24,8)&lt;&gt;"Reported",'SR.01.01.04'!$D$24&lt;&gt;""),Show!$B$15&amp; Show!$B$15&amp;"SR.26.01.01.03 Rows{Z}@ForceFilingCode:false","")</f>
        <v/>
      </c>
    </row>
    <row r="967" spans="1:2">
      <c r="A967" t="str">
        <f>IF(AND(LEFT('SR.01.01.04'!$D$25,8)&lt;&gt;"Reported",'SR.01.01.04'!$D$25&lt;&gt;""),Show!$B$15 &amp; "SR.26.02.01.01 Rows{Z}@ForceFilingCode:false","")</f>
        <v/>
      </c>
      <c r="B967" t="str">
        <f>IF(AND(LEFT('SR.01.01.04'!$D$25,8)&lt;&gt;"Reported",'SR.01.01.04'!$D$25&lt;&gt;""),Show!$B$15&amp; Show!$B$15&amp;"SR.26.02.01.01 Rows{Z}@ForceFilingCode:false","")</f>
        <v/>
      </c>
    </row>
    <row r="968" spans="1:2">
      <c r="A968" t="str">
        <f>IF(AND(LEFT('SR.01.01.04'!$D$25,8)&lt;&gt;"Reported",'SR.01.01.04'!$D$25&lt;&gt;""),Show!$B$15 &amp; "SR.26.02.01.02 Rows{Z}@ForceFilingCode:false","")</f>
        <v/>
      </c>
      <c r="B968" t="str">
        <f>IF(AND(LEFT('SR.01.01.04'!$D$25,8)&lt;&gt;"Reported",'SR.01.01.04'!$D$25&lt;&gt;""),Show!$B$15&amp; Show!$B$15&amp;"SR.26.02.01.02 Rows{Z}@ForceFilingCode:false","")</f>
        <v/>
      </c>
    </row>
    <row r="969" spans="1:2">
      <c r="A969" t="str">
        <f>IF(AND(LEFT('SR.01.01.04'!$D$26,8)&lt;&gt;"Reported",'SR.01.01.04'!$D$26&lt;&gt;""),Show!$B$15 &amp; "SR.26.03.01.01 Rows{Z}@ForceFilingCode:false","")</f>
        <v/>
      </c>
      <c r="B969" t="str">
        <f>IF(AND(LEFT('SR.01.01.04'!$D$26,8)&lt;&gt;"Reported",'SR.01.01.04'!$D$26&lt;&gt;""),Show!$B$15&amp; Show!$B$15&amp;"SR.26.03.01.01 Rows{Z}@ForceFilingCode:false","")</f>
        <v/>
      </c>
    </row>
    <row r="970" spans="1:2">
      <c r="A970" t="str">
        <f>IF(AND(LEFT('SR.01.01.04'!$D$26,8)&lt;&gt;"Reported",'SR.01.01.04'!$D$26&lt;&gt;""),Show!$B$15 &amp; "SR.26.03.01.02 Rows{Z}@ForceFilingCode:false","")</f>
        <v/>
      </c>
      <c r="B970" t="str">
        <f>IF(AND(LEFT('SR.01.01.04'!$D$26,8)&lt;&gt;"Reported",'SR.01.01.04'!$D$26&lt;&gt;""),Show!$B$15&amp; Show!$B$15&amp;"SR.26.03.01.02 Rows{Z}@ForceFilingCode:false","")</f>
        <v/>
      </c>
    </row>
    <row r="971" spans="1:2">
      <c r="A971" t="str">
        <f>IF(AND(LEFT('SR.01.01.04'!$D$26,8)&lt;&gt;"Reported",'SR.01.01.04'!$D$26&lt;&gt;""),Show!$B$15 &amp; "SR.26.03.01.03 Rows{Z}@ForceFilingCode:false","")</f>
        <v/>
      </c>
      <c r="B971" t="str">
        <f>IF(AND(LEFT('SR.01.01.04'!$D$26,8)&lt;&gt;"Reported",'SR.01.01.04'!$D$26&lt;&gt;""),Show!$B$15&amp; Show!$B$15&amp;"SR.26.03.01.03 Rows{Z}@ForceFilingCode:false","")</f>
        <v/>
      </c>
    </row>
    <row r="972" spans="1:2">
      <c r="A972" t="str">
        <f>IF(AND(LEFT('SR.01.01.04'!$D$26,8)&lt;&gt;"Reported",'SR.01.01.04'!$D$26&lt;&gt;""),Show!$B$15 &amp; "SR.26.03.01.04 Rows{Z}@ForceFilingCode:false","")</f>
        <v/>
      </c>
      <c r="B972" t="str">
        <f>IF(AND(LEFT('SR.01.01.04'!$D$26,8)&lt;&gt;"Reported",'SR.01.01.04'!$D$26&lt;&gt;""),Show!$B$15&amp; Show!$B$15&amp;"SR.26.03.01.04 Rows{Z}@ForceFilingCode:false","")</f>
        <v/>
      </c>
    </row>
    <row r="973" spans="1:2">
      <c r="A973" t="str">
        <f>IF(AND(LEFT('SR.01.01.04'!$D$27,8)&lt;&gt;"Reported",'SR.01.01.04'!$D$27&lt;&gt;""),Show!$B$15 &amp; "SR.26.04.01.01 Rows{Z}@ForceFilingCode:false","")</f>
        <v/>
      </c>
      <c r="B973" t="str">
        <f>IF(AND(LEFT('SR.01.01.04'!$D$27,8)&lt;&gt;"Reported",'SR.01.01.04'!$D$27&lt;&gt;""),Show!$B$15&amp; Show!$B$15&amp;"SR.26.04.01.01 Rows{Z}@ForceFilingCode:false","")</f>
        <v/>
      </c>
    </row>
    <row r="974" spans="1:2">
      <c r="A974" t="str">
        <f>IF(AND(LEFT('SR.01.01.04'!$D$27,8)&lt;&gt;"Reported",'SR.01.01.04'!$D$27&lt;&gt;""),Show!$B$15 &amp; "SR.26.04.01.02 Rows{Z}@ForceFilingCode:false","")</f>
        <v/>
      </c>
      <c r="B974" t="str">
        <f>IF(AND(LEFT('SR.01.01.04'!$D$27,8)&lt;&gt;"Reported",'SR.01.01.04'!$D$27&lt;&gt;""),Show!$B$15&amp; Show!$B$15&amp;"SR.26.04.01.02 Rows{Z}@ForceFilingCode:false","")</f>
        <v/>
      </c>
    </row>
    <row r="975" spans="1:2">
      <c r="A975" t="str">
        <f>IF(AND(LEFT('SR.01.01.04'!$D$27,8)&lt;&gt;"Reported",'SR.01.01.04'!$D$27&lt;&gt;""),Show!$B$15 &amp; "SR.26.04.01.03 Rows{Z}@ForceFilingCode:false","")</f>
        <v/>
      </c>
      <c r="B975" t="str">
        <f>IF(AND(LEFT('SR.01.01.04'!$D$27,8)&lt;&gt;"Reported",'SR.01.01.04'!$D$27&lt;&gt;""),Show!$B$15&amp; Show!$B$15&amp;"SR.26.04.01.03 Rows{Z}@ForceFilingCode:false","")</f>
        <v/>
      </c>
    </row>
    <row r="976" spans="1:2">
      <c r="A976" t="str">
        <f>IF(AND(LEFT('SR.01.01.04'!$D$27,8)&lt;&gt;"Reported",'SR.01.01.04'!$D$27&lt;&gt;""),Show!$B$15 &amp; "SR.26.04.01.04 Rows{Z}@ForceFilingCode:false","")</f>
        <v/>
      </c>
      <c r="B976" t="str">
        <f>IF(AND(LEFT('SR.01.01.04'!$D$27,8)&lt;&gt;"Reported",'SR.01.01.04'!$D$27&lt;&gt;""),Show!$B$15&amp; Show!$B$15&amp;"SR.26.04.01.04 Rows{Z}@ForceFilingCode:false","")</f>
        <v/>
      </c>
    </row>
    <row r="977" spans="1:2">
      <c r="A977" t="str">
        <f>IF(AND(LEFT('SR.01.01.04'!$D$27,8)&lt;&gt;"Reported",'SR.01.01.04'!$D$27&lt;&gt;""),Show!$B$15 &amp; "SR.26.04.01.05 Rows{Z}@ForceFilingCode:false","")</f>
        <v/>
      </c>
      <c r="B977" t="str">
        <f>IF(AND(LEFT('SR.01.01.04'!$D$27,8)&lt;&gt;"Reported",'SR.01.01.04'!$D$27&lt;&gt;""),Show!$B$15&amp; Show!$B$15&amp;"SR.26.04.01.05 Rows{Z}@ForceFilingCode:false","")</f>
        <v/>
      </c>
    </row>
    <row r="978" spans="1:2">
      <c r="A978" t="str">
        <f>IF(AND(LEFT('SR.01.01.04'!$D$27,8)&lt;&gt;"Reported",'SR.01.01.04'!$D$27&lt;&gt;""),Show!$B$15 &amp; "SR.26.04.01.06 Rows{Z}@ForceFilingCode:false","")</f>
        <v/>
      </c>
      <c r="B978" t="str">
        <f>IF(AND(LEFT('SR.01.01.04'!$D$27,8)&lt;&gt;"Reported",'SR.01.01.04'!$D$27&lt;&gt;""),Show!$B$15&amp; Show!$B$15&amp;"SR.26.04.01.06 Rows{Z}@ForceFilingCode:false","")</f>
        <v/>
      </c>
    </row>
    <row r="979" spans="1:2">
      <c r="A979" t="str">
        <f>IF(AND(LEFT('SR.01.01.04'!$D$27,8)&lt;&gt;"Reported",'SR.01.01.04'!$D$27&lt;&gt;""),Show!$B$15 &amp; "SR.26.04.01.07 Rows{Z}@ForceFilingCode:false","")</f>
        <v/>
      </c>
      <c r="B979" t="str">
        <f>IF(AND(LEFT('SR.01.01.04'!$D$27,8)&lt;&gt;"Reported",'SR.01.01.04'!$D$27&lt;&gt;""),Show!$B$15&amp; Show!$B$15&amp;"SR.26.04.01.07 Rows{Z}@ForceFilingCode:false","")</f>
        <v/>
      </c>
    </row>
    <row r="980" spans="1:2">
      <c r="A980" t="str">
        <f>IF(AND(LEFT('SR.01.01.04'!$D$27,8)&lt;&gt;"Reported",'SR.01.01.04'!$D$27&lt;&gt;""),Show!$B$15 &amp; "SR.26.04.01.08 Rows{Z}@ForceFilingCode:false","")</f>
        <v/>
      </c>
      <c r="B980" t="str">
        <f>IF(AND(LEFT('SR.01.01.04'!$D$27,8)&lt;&gt;"Reported",'SR.01.01.04'!$D$27&lt;&gt;""),Show!$B$15&amp; Show!$B$15&amp;"SR.26.04.01.08 Rows{Z}@ForceFilingCode:false","")</f>
        <v/>
      </c>
    </row>
    <row r="981" spans="1:2">
      <c r="A981" t="str">
        <f>IF(AND(LEFT('SR.01.01.04'!$D$27,8)&lt;&gt;"Reported",'SR.01.01.04'!$D$27&lt;&gt;""),Show!$B$15 &amp; "SR.26.04.01.09 Rows{Z}@ForceFilingCode:false","")</f>
        <v/>
      </c>
      <c r="B981" t="str">
        <f>IF(AND(LEFT('SR.01.01.04'!$D$27,8)&lt;&gt;"Reported",'SR.01.01.04'!$D$27&lt;&gt;""),Show!$B$15&amp; Show!$B$15&amp;"SR.26.04.01.09 Rows{Z}@ForceFilingCode:false","")</f>
        <v/>
      </c>
    </row>
    <row r="982" spans="1:2">
      <c r="A982" t="str">
        <f>IF(AND(LEFT('SR.01.01.04'!$D$28,8)&lt;&gt;"Reported",'SR.01.01.04'!$D$28&lt;&gt;""),Show!$B$15 &amp; "SR.26.05.01.01 Rows{Z}@ForceFilingCode:false","")</f>
        <v/>
      </c>
      <c r="B982" t="str">
        <f>IF(AND(LEFT('SR.01.01.04'!$D$28,8)&lt;&gt;"Reported",'SR.01.01.04'!$D$28&lt;&gt;""),Show!$B$15&amp; Show!$B$15&amp;"SR.26.05.01.01 Rows{Z}@ForceFilingCode:false","")</f>
        <v/>
      </c>
    </row>
    <row r="983" spans="1:2">
      <c r="A983" t="str">
        <f>IF(AND(LEFT('SR.01.01.04'!$D$28,8)&lt;&gt;"Reported",'SR.01.01.04'!$D$28&lt;&gt;""),Show!$B$15 &amp; "SR.26.05.01.02 Rows{Z}@ForceFilingCode:false","")</f>
        <v/>
      </c>
      <c r="B983" t="str">
        <f>IF(AND(LEFT('SR.01.01.04'!$D$28,8)&lt;&gt;"Reported",'SR.01.01.04'!$D$28&lt;&gt;""),Show!$B$15&amp; Show!$B$15&amp;"SR.26.05.01.02 Rows{Z}@ForceFilingCode:false","")</f>
        <v/>
      </c>
    </row>
    <row r="984" spans="1:2">
      <c r="A984" t="str">
        <f>IF(AND(LEFT('SR.01.01.04'!$D$28,8)&lt;&gt;"Reported",'SR.01.01.04'!$D$28&lt;&gt;""),Show!$B$15 &amp; "SR.26.05.01.03 Rows{Z}@ForceFilingCode:false","")</f>
        <v/>
      </c>
      <c r="B984" t="str">
        <f>IF(AND(LEFT('SR.01.01.04'!$D$28,8)&lt;&gt;"Reported",'SR.01.01.04'!$D$28&lt;&gt;""),Show!$B$15&amp; Show!$B$15&amp;"SR.26.05.01.03 Rows{Z}@ForceFilingCode:false","")</f>
        <v/>
      </c>
    </row>
    <row r="985" spans="1:2">
      <c r="A985" t="str">
        <f>IF(AND(LEFT('SR.01.01.04'!$D$28,8)&lt;&gt;"Reported",'SR.01.01.04'!$D$28&lt;&gt;""),Show!$B$15 &amp; "SR.26.05.01.04 Rows{Z}@ForceFilingCode:false","")</f>
        <v/>
      </c>
      <c r="B985" t="str">
        <f>IF(AND(LEFT('SR.01.01.04'!$D$28,8)&lt;&gt;"Reported",'SR.01.01.04'!$D$28&lt;&gt;""),Show!$B$15&amp; Show!$B$15&amp;"SR.26.05.01.04 Rows{Z}@ForceFilingCode:false","")</f>
        <v/>
      </c>
    </row>
    <row r="986" spans="1:2">
      <c r="A986" t="str">
        <f>IF(AND(LEFT('SR.01.01.04'!$D$28,8)&lt;&gt;"Reported",'SR.01.01.04'!$D$28&lt;&gt;""),Show!$B$15 &amp; "SR.26.05.01.05 Rows{Z}@ForceFilingCode:false","")</f>
        <v/>
      </c>
      <c r="B986" t="str">
        <f>IF(AND(LEFT('SR.01.01.04'!$D$28,8)&lt;&gt;"Reported",'SR.01.01.04'!$D$28&lt;&gt;""),Show!$B$15&amp; Show!$B$15&amp;"SR.26.05.01.05 Rows{Z}@ForceFilingCode:false","")</f>
        <v/>
      </c>
    </row>
    <row r="987" spans="1:2">
      <c r="A987" t="str">
        <f>IF(AND(LEFT('SR.01.01.04'!$D$29,8)&lt;&gt;"Reported",'SR.01.01.04'!$D$29&lt;&gt;""),Show!$B$15 &amp; "SR.26.06.01.01 Rows{Z}@ForceFilingCode:false","")</f>
        <v/>
      </c>
      <c r="B987" t="str">
        <f>IF(AND(LEFT('SR.01.01.04'!$D$29,8)&lt;&gt;"Reported",'SR.01.01.04'!$D$29&lt;&gt;""),Show!$B$15&amp; Show!$B$15&amp;"SR.26.06.01.01 Rows{Z}@ForceFilingCode:false","")</f>
        <v/>
      </c>
    </row>
    <row r="988" spans="1:2">
      <c r="A988" t="str">
        <f>IF(AND(LEFT('SR.01.01.04'!$D$30,8)&lt;&gt;"Reported",'SR.01.01.04'!$D$30&lt;&gt;""),Show!$B$15 &amp; "SR.26.07.01.01 Rows{Z}@ForceFilingCode:false","")</f>
        <v/>
      </c>
      <c r="B988" t="str">
        <f>IF(AND(LEFT('SR.01.01.04'!$D$30,8)&lt;&gt;"Reported",'SR.01.01.04'!$D$30&lt;&gt;""),Show!$B$15&amp; Show!$B$15&amp;"SR.26.07.01.01 Rows{Z}@ForceFilingCode:false","")</f>
        <v/>
      </c>
    </row>
    <row r="989" spans="1:2">
      <c r="A989" t="str">
        <f>IF(AND(LEFT('SR.01.01.04'!$D$30,8)&lt;&gt;"Reported",'SR.01.01.04'!$D$30&lt;&gt;""),Show!$B$15 &amp; "SR.26.07.01.02 Rows{Z}@ForceFilingCode:false","")</f>
        <v/>
      </c>
      <c r="B989" t="str">
        <f>IF(AND(LEFT('SR.01.01.04'!$D$30,8)&lt;&gt;"Reported",'SR.01.01.04'!$D$30&lt;&gt;""),Show!$B$15&amp; Show!$B$15&amp;"SR.26.07.01.02 Rows{Z}@ForceFilingCode:false","")</f>
        <v/>
      </c>
    </row>
    <row r="990" spans="1:2">
      <c r="A990" t="str">
        <f>IF(AND(LEFT('SR.01.01.04'!$D$30,8)&lt;&gt;"Reported",'SR.01.01.04'!$D$30&lt;&gt;""),Show!$B$15 &amp; "SR.26.07.01.03 Rows{Z}@ForceFilingCode:false","")</f>
        <v/>
      </c>
      <c r="B990" t="str">
        <f>IF(AND(LEFT('SR.01.01.04'!$D$30,8)&lt;&gt;"Reported",'SR.01.01.04'!$D$30&lt;&gt;""),Show!$B$15&amp; Show!$B$15&amp;"SR.26.07.01.03 Rows{Z}@ForceFilingCode:false","")</f>
        <v/>
      </c>
    </row>
    <row r="991" spans="1:2">
      <c r="A991" t="str">
        <f>IF(AND(LEFT('SR.01.01.04'!$D$30,8)&lt;&gt;"Reported",'SR.01.01.04'!$D$30&lt;&gt;""),Show!$B$15 &amp; "SR.26.07.01.04 Rows{Z}@ForceFilingCode:false","")</f>
        <v/>
      </c>
      <c r="B991" t="str">
        <f>IF(AND(LEFT('SR.01.01.04'!$D$30,8)&lt;&gt;"Reported",'SR.01.01.04'!$D$30&lt;&gt;""),Show!$B$15&amp; Show!$B$15&amp;"SR.26.07.01.04 Rows{Z}@ForceFilingCode:false","")</f>
        <v/>
      </c>
    </row>
    <row r="992" spans="1:2">
      <c r="A992" t="str">
        <f>IF(AND(LEFT('SR.01.01.04'!$D$30,8)&lt;&gt;"Reported",'SR.01.01.04'!$D$30&lt;&gt;""),Show!$B$15 &amp; "SR.26.07.01.05 Rows{Z}@ForceFilingCode:false","")</f>
        <v/>
      </c>
      <c r="B992" t="str">
        <f>IF(AND(LEFT('SR.01.01.04'!$D$30,8)&lt;&gt;"Reported",'SR.01.01.04'!$D$30&lt;&gt;""),Show!$B$15&amp; Show!$B$15&amp;"SR.26.07.01.05 Rows{Z}@ForceFilingCode:false","")</f>
        <v/>
      </c>
    </row>
    <row r="993" spans="1:2">
      <c r="A993" t="str">
        <f>IF(AND(LEFT('SR.01.01.04'!$D$30,8)&lt;&gt;"Reported",'SR.01.01.04'!$D$30&lt;&gt;""),Show!$B$15 &amp; "SR.26.07.01.06 Rows{Z}@ForceFilingCode:false","")</f>
        <v/>
      </c>
      <c r="B993" t="str">
        <f>IF(AND(LEFT('SR.01.01.04'!$D$30,8)&lt;&gt;"Reported",'SR.01.01.04'!$D$30&lt;&gt;""),Show!$B$15&amp; Show!$B$15&amp;"SR.26.07.01.06 Rows{Z}@ForceFilingCode:false","")</f>
        <v/>
      </c>
    </row>
    <row r="994" spans="1:2">
      <c r="A994" t="str">
        <f>IF(AND(LEFT('SR.01.01.04'!$D$31,8)&lt;&gt;"Reported",'SR.01.01.04'!$D$31&lt;&gt;""),Show!$B$15 &amp; "SR.27.01.01.01 Rows{Z}@ForceFilingCode:false","")</f>
        <v/>
      </c>
      <c r="B994" t="str">
        <f>IF(AND(LEFT('SR.01.01.04'!$D$31,8)&lt;&gt;"Reported",'SR.01.01.04'!$D$31&lt;&gt;""),Show!$B$15&amp; Show!$B$15&amp;"SR.27.01.01.01 Rows{Z}@ForceFilingCode:false","")</f>
        <v/>
      </c>
    </row>
    <row r="995" spans="1:2">
      <c r="A995" t="str">
        <f>IF(AND(LEFT('SR.01.01.04'!$D$31,8)&lt;&gt;"Reported",'SR.01.01.04'!$D$31&lt;&gt;""),Show!$B$15 &amp; "SR.27.01.01.02 Rows{Z}@ForceFilingCode:false","")</f>
        <v/>
      </c>
      <c r="B995" t="str">
        <f>IF(AND(LEFT('SR.01.01.04'!$D$31,8)&lt;&gt;"Reported",'SR.01.01.04'!$D$31&lt;&gt;""),Show!$B$15&amp; Show!$B$15&amp;"SR.27.01.01.02 Rows{Z}@ForceFilingCode:false","")</f>
        <v/>
      </c>
    </row>
    <row r="996" spans="1:2">
      <c r="A996" t="str">
        <f>IF(AND(LEFT('SR.01.01.04'!$D$31,8)&lt;&gt;"Reported",'SR.01.01.04'!$D$31&lt;&gt;""),Show!$B$15 &amp; "SR.27.01.01.03 Rows{Z}@ForceFilingCode:false","")</f>
        <v/>
      </c>
      <c r="B996" t="str">
        <f>IF(AND(LEFT('SR.01.01.04'!$D$31,8)&lt;&gt;"Reported",'SR.01.01.04'!$D$31&lt;&gt;""),Show!$B$15&amp; Show!$B$15&amp;"SR.27.01.01.03 Rows{Z}@ForceFilingCode:false","")</f>
        <v/>
      </c>
    </row>
    <row r="997" spans="1:2">
      <c r="A997" t="str">
        <f>IF(AND(LEFT('SR.01.01.04'!$D$31,8)&lt;&gt;"Reported",'SR.01.01.04'!$D$31&lt;&gt;""),Show!$B$15 &amp; "SR.27.01.01.04 Rows{Z}@ForceFilingCode:false","")</f>
        <v/>
      </c>
      <c r="B997" t="str">
        <f>IF(AND(LEFT('SR.01.01.04'!$D$31,8)&lt;&gt;"Reported",'SR.01.01.04'!$D$31&lt;&gt;""),Show!$B$15&amp; Show!$B$15&amp;"SR.27.01.01.04 Rows{Z}@ForceFilingCode:false","")</f>
        <v/>
      </c>
    </row>
    <row r="998" spans="1:2">
      <c r="A998" t="str">
        <f>IF(AND(LEFT('SR.01.01.04'!$D$31,8)&lt;&gt;"Reported",'SR.01.01.04'!$D$31&lt;&gt;""),Show!$B$15 &amp; "SR.27.01.01.05 Rows{Z}@ForceFilingCode:false","")</f>
        <v/>
      </c>
      <c r="B998" t="str">
        <f>IF(AND(LEFT('SR.01.01.04'!$D$31,8)&lt;&gt;"Reported",'SR.01.01.04'!$D$31&lt;&gt;""),Show!$B$15&amp; Show!$B$15&amp;"SR.27.01.01.05 Rows{Z}@ForceFilingCode:false","")</f>
        <v/>
      </c>
    </row>
    <row r="999" spans="1:2">
      <c r="A999" t="str">
        <f>IF(AND(LEFT('SR.01.01.04'!$D$31,8)&lt;&gt;"Reported",'SR.01.01.04'!$D$31&lt;&gt;""),Show!$B$15 &amp; "SR.27.01.01.06 Rows{Z}@ForceFilingCode:false","")</f>
        <v/>
      </c>
      <c r="B999" t="str">
        <f>IF(AND(LEFT('SR.01.01.04'!$D$31,8)&lt;&gt;"Reported",'SR.01.01.04'!$D$31&lt;&gt;""),Show!$B$15&amp; Show!$B$15&amp;"SR.27.01.01.06 Rows{Z}@ForceFilingCode:false","")</f>
        <v/>
      </c>
    </row>
    <row r="1000" spans="1:2">
      <c r="A1000" t="str">
        <f>IF(AND(LEFT('SR.01.01.04'!$D$31,8)&lt;&gt;"Reported",'SR.01.01.04'!$D$31&lt;&gt;""),Show!$B$15 &amp; "SR.27.01.01.07 Rows{Z}@ForceFilingCode:false","")</f>
        <v/>
      </c>
      <c r="B1000" t="str">
        <f>IF(AND(LEFT('SR.01.01.04'!$D$31,8)&lt;&gt;"Reported",'SR.01.01.04'!$D$31&lt;&gt;""),Show!$B$15&amp; Show!$B$15&amp;"SR.27.01.01.07 Rows{Z}@ForceFilingCode:false","")</f>
        <v/>
      </c>
    </row>
    <row r="1001" spans="1:2">
      <c r="A1001" t="str">
        <f>IF(AND(LEFT('SR.01.01.04'!$D$31,8)&lt;&gt;"Reported",'SR.01.01.04'!$D$31&lt;&gt;""),Show!$B$15 &amp; "SR.27.01.01.08 Rows{Z}@ForceFilingCode:false","")</f>
        <v/>
      </c>
      <c r="B1001" t="str">
        <f>IF(AND(LEFT('SR.01.01.04'!$D$31,8)&lt;&gt;"Reported",'SR.01.01.04'!$D$31&lt;&gt;""),Show!$B$15&amp; Show!$B$15&amp;"SR.27.01.01.08 Rows{Z}@ForceFilingCode:false","")</f>
        <v/>
      </c>
    </row>
    <row r="1002" spans="1:2">
      <c r="A1002" t="str">
        <f>IF(AND(LEFT('SR.01.01.04'!$D$31,8)&lt;&gt;"Reported",'SR.01.01.04'!$D$31&lt;&gt;""),Show!$B$15 &amp; "SR.27.01.01.09 Rows{Z}@ForceFilingCode:false","")</f>
        <v/>
      </c>
      <c r="B1002" t="str">
        <f>IF(AND(LEFT('SR.01.01.04'!$D$31,8)&lt;&gt;"Reported",'SR.01.01.04'!$D$31&lt;&gt;""),Show!$B$15&amp; Show!$B$15&amp;"SR.27.01.01.09 Rows{Z}@ForceFilingCode:false","")</f>
        <v/>
      </c>
    </row>
    <row r="1003" spans="1:2">
      <c r="A1003" t="str">
        <f>IF(AND(LEFT('SR.01.01.04'!$D$31,8)&lt;&gt;"Reported",'SR.01.01.04'!$D$31&lt;&gt;""),Show!$B$15 &amp; "SR.27.01.01.10 Rows{Z}@ForceFilingCode:false","")</f>
        <v/>
      </c>
      <c r="B1003" t="str">
        <f>IF(AND(LEFT('SR.01.01.04'!$D$31,8)&lt;&gt;"Reported",'SR.01.01.04'!$D$31&lt;&gt;""),Show!$B$15&amp; Show!$B$15&amp;"SR.27.01.01.10 Rows{Z}@ForceFilingCode:false","")</f>
        <v/>
      </c>
    </row>
    <row r="1004" spans="1:2">
      <c r="A1004" t="str">
        <f>IF(AND(LEFT('SR.01.01.04'!$D$31,8)&lt;&gt;"Reported",'SR.01.01.04'!$D$31&lt;&gt;""),Show!$B$15 &amp; "SR.27.01.01.11 Rows{Z}@ForceFilingCode:false","")</f>
        <v/>
      </c>
      <c r="B1004" t="str">
        <f>IF(AND(LEFT('SR.01.01.04'!$D$31,8)&lt;&gt;"Reported",'SR.01.01.04'!$D$31&lt;&gt;""),Show!$B$15&amp; Show!$B$15&amp;"SR.27.01.01.11 Rows{Z}@ForceFilingCode:false","")</f>
        <v/>
      </c>
    </row>
    <row r="1005" spans="1:2">
      <c r="A1005" t="str">
        <f>IF(AND(LEFT('SR.01.01.04'!$D$31,8)&lt;&gt;"Reported",'SR.01.01.04'!$D$31&lt;&gt;""),Show!$B$15 &amp; "SR.27.01.01.12 Rows{Z}@ForceFilingCode:false","")</f>
        <v/>
      </c>
      <c r="B1005" t="str">
        <f>IF(AND(LEFT('SR.01.01.04'!$D$31,8)&lt;&gt;"Reported",'SR.01.01.04'!$D$31&lt;&gt;""),Show!$B$15&amp; Show!$B$15&amp;"SR.27.01.01.12 Rows{Z}@ForceFilingCode:false","")</f>
        <v/>
      </c>
    </row>
    <row r="1006" spans="1:2">
      <c r="A1006" t="str">
        <f>IF(AND(LEFT('SR.01.01.04'!$D$31,8)&lt;&gt;"Reported",'SR.01.01.04'!$D$31&lt;&gt;""),Show!$B$15 &amp; "SR.27.01.01.13 Rows{Z}@ForceFilingCode:false","")</f>
        <v/>
      </c>
      <c r="B1006" t="str">
        <f>IF(AND(LEFT('SR.01.01.04'!$D$31,8)&lt;&gt;"Reported",'SR.01.01.04'!$D$31&lt;&gt;""),Show!$B$15&amp; Show!$B$15&amp;"SR.27.01.01.13 Rows{Z}@ForceFilingCode:false","")</f>
        <v/>
      </c>
    </row>
    <row r="1007" spans="1:2">
      <c r="A1007" t="str">
        <f>IF(AND(LEFT('SR.01.01.04'!$D$31,8)&lt;&gt;"Reported",'SR.01.01.04'!$D$31&lt;&gt;""),Show!$B$15 &amp; "SR.27.01.01.14 Rows{Z}@ForceFilingCode:false","")</f>
        <v/>
      </c>
      <c r="B1007" t="str">
        <f>IF(AND(LEFT('SR.01.01.04'!$D$31,8)&lt;&gt;"Reported",'SR.01.01.04'!$D$31&lt;&gt;""),Show!$B$15&amp; Show!$B$15&amp;"SR.27.01.01.14 Rows{Z}@ForceFilingCode:false","")</f>
        <v/>
      </c>
    </row>
    <row r="1008" spans="1:2">
      <c r="A1008" t="str">
        <f>IF(AND(LEFT('SR.01.01.04'!$D$31,8)&lt;&gt;"Reported",'SR.01.01.04'!$D$31&lt;&gt;""),Show!$B$15 &amp; "SR.27.01.01.15 Rows{Z}@ForceFilingCode:false","")</f>
        <v/>
      </c>
      <c r="B1008" t="str">
        <f>IF(AND(LEFT('SR.01.01.04'!$D$31,8)&lt;&gt;"Reported",'SR.01.01.04'!$D$31&lt;&gt;""),Show!$B$15&amp; Show!$B$15&amp;"SR.27.01.01.15 Rows{Z}@ForceFilingCode:false","")</f>
        <v/>
      </c>
    </row>
    <row r="1009" spans="1:2">
      <c r="A1009" t="str">
        <f>IF(AND(LEFT('SR.01.01.04'!$D$31,8)&lt;&gt;"Reported",'SR.01.01.04'!$D$31&lt;&gt;""),Show!$B$15 &amp; "SR.27.01.01.16 Rows{Z}@ForceFilingCode:false","")</f>
        <v/>
      </c>
      <c r="B1009" t="str">
        <f>IF(AND(LEFT('SR.01.01.04'!$D$31,8)&lt;&gt;"Reported",'SR.01.01.04'!$D$31&lt;&gt;""),Show!$B$15&amp; Show!$B$15&amp;"SR.27.01.01.16 Rows{Z}@ForceFilingCode:false","")</f>
        <v/>
      </c>
    </row>
    <row r="1010" spans="1:2">
      <c r="A1010" t="str">
        <f>IF(AND(LEFT('SR.01.01.04'!$D$31,8)&lt;&gt;"Reported",'SR.01.01.04'!$D$31&lt;&gt;""),Show!$B$15 &amp; "SR.27.01.01.17 Rows{Z}@ForceFilingCode:false","")</f>
        <v/>
      </c>
      <c r="B1010" t="str">
        <f>IF(AND(LEFT('SR.01.01.04'!$D$31,8)&lt;&gt;"Reported",'SR.01.01.04'!$D$31&lt;&gt;""),Show!$B$15&amp; Show!$B$15&amp;"SR.27.01.01.17 Rows{Z}@ForceFilingCode:false","")</f>
        <v/>
      </c>
    </row>
    <row r="1011" spans="1:2">
      <c r="A1011" t="str">
        <f>IF(AND(LEFT('SR.01.01.04'!$D$31,8)&lt;&gt;"Reported",'SR.01.01.04'!$D$31&lt;&gt;""),Show!$B$15 &amp; "SR.27.01.01.18 Rows{Z}@ForceFilingCode:false","")</f>
        <v/>
      </c>
      <c r="B1011" t="str">
        <f>IF(AND(LEFT('SR.01.01.04'!$D$31,8)&lt;&gt;"Reported",'SR.01.01.04'!$D$31&lt;&gt;""),Show!$B$15&amp; Show!$B$15&amp;"SR.27.01.01.18 Rows{Z}@ForceFilingCode:false","")</f>
        <v/>
      </c>
    </row>
    <row r="1012" spans="1:2">
      <c r="A1012" t="str">
        <f>IF(AND(LEFT('SR.01.01.04'!$D$31,8)&lt;&gt;"Reported",'SR.01.01.04'!$D$31&lt;&gt;""),Show!$B$15 &amp; "SR.27.01.01.19 Rows{Z}@ForceFilingCode:false","")</f>
        <v/>
      </c>
      <c r="B1012" t="str">
        <f>IF(AND(LEFT('SR.01.01.04'!$D$31,8)&lt;&gt;"Reported",'SR.01.01.04'!$D$31&lt;&gt;""),Show!$B$15&amp; Show!$B$15&amp;"SR.27.01.01.19 Rows{Z}@ForceFilingCode:false","")</f>
        <v/>
      </c>
    </row>
    <row r="1013" spans="1:2">
      <c r="A1013" t="str">
        <f>IF(AND(LEFT('SR.01.01.04'!$D$31,8)&lt;&gt;"Reported",'SR.01.01.04'!$D$31&lt;&gt;""),Show!$B$15 &amp; "SR.27.01.01.20 Rows{Z}@ForceFilingCode:false","")</f>
        <v/>
      </c>
      <c r="B1013" t="str">
        <f>IF(AND(LEFT('SR.01.01.04'!$D$31,8)&lt;&gt;"Reported",'SR.01.01.04'!$D$31&lt;&gt;""),Show!$B$15&amp; Show!$B$15&amp;"SR.27.01.01.20 Rows{Z}@ForceFilingCode:false","")</f>
        <v/>
      </c>
    </row>
    <row r="1014" spans="1:2">
      <c r="A1014" t="str">
        <f>IF(AND(LEFT('SR.01.01.04'!$D$31,8)&lt;&gt;"Reported",'SR.01.01.04'!$D$31&lt;&gt;""),Show!$B$15 &amp; "SR.27.01.01.21 Rows{Z}@ForceFilingCode:false","")</f>
        <v/>
      </c>
      <c r="B1014" t="str">
        <f>IF(AND(LEFT('SR.01.01.04'!$D$31,8)&lt;&gt;"Reported",'SR.01.01.04'!$D$31&lt;&gt;""),Show!$B$15&amp; Show!$B$15&amp;"SR.27.01.01.21 Rows{Z}@ForceFilingCode:false","")</f>
        <v/>
      </c>
    </row>
    <row r="1015" spans="1:2">
      <c r="A1015" t="str">
        <f>IF(AND(LEFT('SR.01.01.04'!$D$31,8)&lt;&gt;"Reported",'SR.01.01.04'!$D$31&lt;&gt;""),Show!$B$15 &amp; "SR.27.01.01.22 Rows{Z}@ForceFilingCode:false","")</f>
        <v/>
      </c>
      <c r="B1015" t="str">
        <f>IF(AND(LEFT('SR.01.01.04'!$D$31,8)&lt;&gt;"Reported",'SR.01.01.04'!$D$31&lt;&gt;""),Show!$B$15&amp; Show!$B$15&amp;"SR.27.01.01.22 Rows{Z}@ForceFilingCode:false","")</f>
        <v/>
      </c>
    </row>
    <row r="1016" spans="1:2">
      <c r="A1016" t="str">
        <f>IF(AND(LEFT('SR.01.01.04'!$D$31,8)&lt;&gt;"Reported",'SR.01.01.04'!$D$31&lt;&gt;""),Show!$B$15 &amp; "SR.27.01.01.23 Rows{Z}@ForceFilingCode:false","")</f>
        <v/>
      </c>
      <c r="B1016" t="str">
        <f>IF(AND(LEFT('SR.01.01.04'!$D$31,8)&lt;&gt;"Reported",'SR.01.01.04'!$D$31&lt;&gt;""),Show!$B$15&amp; Show!$B$15&amp;"SR.27.01.01.23 Rows{Z}@ForceFilingCode:false","")</f>
        <v/>
      </c>
    </row>
    <row r="1017" spans="1:2">
      <c r="A1017" t="str">
        <f>IF(AND(LEFT('SR.01.01.04'!$D$31,8)&lt;&gt;"Reported",'SR.01.01.04'!$D$31&lt;&gt;""),Show!$B$15 &amp; "SR.27.01.01.24 Rows{Z}@ForceFilingCode:false","")</f>
        <v/>
      </c>
      <c r="B1017" t="str">
        <f>IF(AND(LEFT('SR.01.01.04'!$D$31,8)&lt;&gt;"Reported",'SR.01.01.04'!$D$31&lt;&gt;""),Show!$B$15&amp; Show!$B$15&amp;"SR.27.01.01.24 Rows{Z}@ForceFilingCode:false","")</f>
        <v/>
      </c>
    </row>
    <row r="1018" spans="1:2">
      <c r="A1018" t="str">
        <f>IF(AND(LEFT('SR.01.01.04'!$D$31,8)&lt;&gt;"Reported",'SR.01.01.04'!$D$31&lt;&gt;""),Show!$B$15 &amp; "SR.27.01.01.25 Rows{Z}@ForceFilingCode:false","")</f>
        <v/>
      </c>
      <c r="B1018" t="str">
        <f>IF(AND(LEFT('SR.01.01.04'!$D$31,8)&lt;&gt;"Reported",'SR.01.01.04'!$D$31&lt;&gt;""),Show!$B$15&amp; Show!$B$15&amp;"SR.27.01.01.25 Rows{Z}@ForceFilingCode:false","")</f>
        <v/>
      </c>
    </row>
    <row r="1019" spans="1:2">
      <c r="A1019" t="str">
        <f>IF(AND(LEFT('SR.01.01.04'!$D$31,8)&lt;&gt;"Reported",'SR.01.01.04'!$D$31&lt;&gt;""),Show!$B$15 &amp; "SR.27.01.01.26 Rows{Z}@ForceFilingCode:false","")</f>
        <v/>
      </c>
      <c r="B1019" t="str">
        <f>IF(AND(LEFT('SR.01.01.04'!$D$31,8)&lt;&gt;"Reported",'SR.01.01.04'!$D$31&lt;&gt;""),Show!$B$15&amp; Show!$B$15&amp;"SR.27.01.01.26 Rows{Z}@ForceFilingCode:false","")</f>
        <v/>
      </c>
    </row>
    <row r="1020" spans="1:2">
      <c r="A1020" t="str">
        <f>IF(AND(LEFT('SR.01.01.04'!$D$31,8)&lt;&gt;"Reported",'SR.01.01.04'!$D$31&lt;&gt;""),Show!$B$15 &amp; "SR.27.01.01.27 Rows{Z}@ForceFilingCode:false","")</f>
        <v/>
      </c>
      <c r="B1020" t="str">
        <f>IF(AND(LEFT('SR.01.01.04'!$D$31,8)&lt;&gt;"Reported",'SR.01.01.04'!$D$31&lt;&gt;""),Show!$B$15&amp; Show!$B$15&amp;"SR.27.01.01.27 Rows{Z}@ForceFilingCode:false","")</f>
        <v/>
      </c>
    </row>
    <row r="1021" spans="1:2">
      <c r="A1021" t="str">
        <f>IF(AND(LEFT('SR.01.01.04'!$D$31,8)&lt;&gt;"Reported",'SR.01.01.04'!$D$31&lt;&gt;""),Show!$B$15 &amp; "SR.27.01.01.28 Rows{Z}@ForceFilingCode:false","")</f>
        <v/>
      </c>
      <c r="B1021" t="str">
        <f>IF(AND(LEFT('SR.01.01.04'!$D$31,8)&lt;&gt;"Reported",'SR.01.01.04'!$D$31&lt;&gt;""),Show!$B$15&amp; Show!$B$15&amp;"SR.27.01.01.28 Rows{Z}@ForceFilingCode:false","")</f>
        <v/>
      </c>
    </row>
    <row r="1022" spans="1:2">
      <c r="A1022" t="str">
        <f>IF(AND(LEFT('SR.01.01.07'!$D$20,8)&lt;&gt;"Reported",'SR.01.01.07'!$D$20&lt;&gt;""),Show!$B$16 &amp; "SR.02.01.07.01 Rows{Z}@ForceFilingCode:false","")</f>
        <v/>
      </c>
      <c r="B1022" t="str">
        <f>IF(AND(LEFT('SR.01.01.07'!$D$20,8)&lt;&gt;"Reported",'SR.01.01.07'!$D$20&lt;&gt;""),Show!$B$16&amp; Show!$B$16&amp;"SR.02.01.07.01 Rows{Z}@ForceFilingCode:false","")</f>
        <v/>
      </c>
    </row>
    <row r="1023" spans="1:2">
      <c r="A1023" t="str">
        <f>IF(AND(LEFT('SR.01.01.07'!$D$21,8)&lt;&gt;"Reported",'SR.01.01.07'!$D$21&lt;&gt;""),Show!$B$16 &amp; "SR.12.01.01.01 Rows{Z}@ForceFilingCode:false","")</f>
        <v/>
      </c>
      <c r="B1023" t="str">
        <f>IF(AND(LEFT('SR.01.01.07'!$D$21,8)&lt;&gt;"Reported",'SR.01.01.07'!$D$21&lt;&gt;""),Show!$B$16&amp; Show!$B$16&amp;"SR.12.01.01.01 Rows{Z}@ForceFilingCode:false","")</f>
        <v/>
      </c>
    </row>
    <row r="1024" spans="1:2">
      <c r="A1024" t="str">
        <f>IF(AND(LEFT('SR.01.01.07'!$D$22,8)&lt;&gt;"Reported",'SR.01.01.07'!$D$22&lt;&gt;""),Show!$B$16 &amp; "SR.17.01.01.01 Rows{Z}@ForceFilingCode:false","")</f>
        <v/>
      </c>
      <c r="B1024" t="str">
        <f>IF(AND(LEFT('SR.01.01.07'!$D$22,8)&lt;&gt;"Reported",'SR.01.01.07'!$D$22&lt;&gt;""),Show!$B$16&amp; Show!$B$16&amp;"SR.17.01.01.01 Rows{Z}@ForceFilingCode:false","")</f>
        <v/>
      </c>
    </row>
    <row r="1025" spans="1:2">
      <c r="A1025" t="str">
        <f>IF(AND(LEFT('SR.01.01.07'!$D$23,8)&lt;&gt;"Reported",'SR.01.01.07'!$D$23&lt;&gt;""),Show!$B$16 &amp; "SR.22.02.01.01 Rows{Z}@ForceFilingCode:false","")</f>
        <v/>
      </c>
      <c r="B1025" t="str">
        <f>IF(AND(LEFT('SR.01.01.07'!$D$23,8)&lt;&gt;"Reported",'SR.01.01.07'!$D$23&lt;&gt;""),Show!$B$16&amp; Show!$B$16&amp;"SR.22.02.01.01 Rows{Z}@ForceFilingCode:false","")</f>
        <v/>
      </c>
    </row>
    <row r="1026" spans="1:2">
      <c r="A1026" t="str">
        <f>IF(AND(LEFT('SR.01.01.07'!$D$24,8)&lt;&gt;"Reported",'SR.01.01.07'!$D$24&lt;&gt;""),Show!$B$16 &amp; "SR.22.03.01.01 Rows{Z}@ForceFilingCode:false","")</f>
        <v/>
      </c>
      <c r="B1026" t="str">
        <f>IF(AND(LEFT('SR.01.01.07'!$D$24,8)&lt;&gt;"Reported",'SR.01.01.07'!$D$24&lt;&gt;""),Show!$B$16&amp; Show!$B$16&amp;"SR.22.03.01.01 Rows{Z}@ForceFilingCode:false","")</f>
        <v/>
      </c>
    </row>
    <row r="1027" spans="1:2">
      <c r="A1027" t="str">
        <f>IF(AND(LEFT('SR.01.01.07'!$D$25,8)&lt;&gt;"Reported",'SR.01.01.07'!$D$25&lt;&gt;""),Show!$B$16 &amp; "SR.25.01.01.01 Rows{Z}@ForceFilingCode:false","")</f>
        <v/>
      </c>
      <c r="B1027" t="str">
        <f>IF(AND(LEFT('SR.01.01.07'!$D$25,8)&lt;&gt;"Reported",'SR.01.01.07'!$D$25&lt;&gt;""),Show!$B$16&amp; Show!$B$16&amp;"SR.25.01.01.01 Rows{Z}@ForceFilingCode:false","")</f>
        <v/>
      </c>
    </row>
    <row r="1028" spans="1:2">
      <c r="A1028" t="str">
        <f>IF(AND(LEFT('SR.01.01.07'!$D$25,8)&lt;&gt;"Reported",'SR.01.01.07'!$D$25&lt;&gt;""),Show!$B$16 &amp; "SR.25.01.01.02 Rows{Z}@ForceFilingCode:false","")</f>
        <v/>
      </c>
      <c r="B1028" t="str">
        <f>IF(AND(LEFT('SR.01.01.07'!$D$25,8)&lt;&gt;"Reported",'SR.01.01.07'!$D$25&lt;&gt;""),Show!$B$16&amp; Show!$B$16&amp;"SR.25.01.01.02 Rows{Z}@ForceFilingCode:false","")</f>
        <v/>
      </c>
    </row>
    <row r="1029" spans="1:2">
      <c r="A1029" t="str">
        <f>IF(AND(LEFT('SR.01.01.07'!$D$25,8)&lt;&gt;"Reported",'SR.01.01.07'!$D$25&lt;&gt;""),Show!$B$16 &amp; "SR.25.01.01.03 Rows{Z}@ForceFilingCode:false","")</f>
        <v/>
      </c>
      <c r="B1029" t="str">
        <f>IF(AND(LEFT('SR.01.01.07'!$D$25,8)&lt;&gt;"Reported",'SR.01.01.07'!$D$25&lt;&gt;""),Show!$B$16&amp; Show!$B$16&amp;"SR.25.01.01.03 Rows{Z}@ForceFilingCode:false","")</f>
        <v/>
      </c>
    </row>
    <row r="1030" spans="1:2">
      <c r="A1030" t="str">
        <f>IF(AND(LEFT('SR.01.01.07'!$D$25,8)&lt;&gt;"Reported",'SR.01.01.07'!$D$25&lt;&gt;""),Show!$B$16 &amp; "SR.25.01.01.04 Rows{Z}@ForceFilingCode:false","")</f>
        <v/>
      </c>
      <c r="B1030" t="str">
        <f>IF(AND(LEFT('SR.01.01.07'!$D$25,8)&lt;&gt;"Reported",'SR.01.01.07'!$D$25&lt;&gt;""),Show!$B$16&amp; Show!$B$16&amp;"SR.25.01.01.04 Rows{Z}@ForceFilingCode:false","")</f>
        <v/>
      </c>
    </row>
    <row r="1031" spans="1:2">
      <c r="A1031" t="str">
        <f>IF(AND(LEFT('SR.01.01.07'!$D$25,8)&lt;&gt;"Reported",'SR.01.01.07'!$D$25&lt;&gt;""),Show!$B$16 &amp; "SR.25.01.01.05 Rows{Z}@ForceFilingCode:false","")</f>
        <v/>
      </c>
      <c r="B1031" t="str">
        <f>IF(AND(LEFT('SR.01.01.07'!$D$25,8)&lt;&gt;"Reported",'SR.01.01.07'!$D$25&lt;&gt;""),Show!$B$16&amp; Show!$B$16&amp;"SR.25.01.01.05 Rows{Z}@ForceFilingCode:false","")</f>
        <v/>
      </c>
    </row>
    <row r="1032" spans="1:2">
      <c r="A1032" t="str">
        <f>IF(AND(LEFT('SR.01.01.07'!$D$26,8)&lt;&gt;"Reported",'SR.01.01.07'!$D$26&lt;&gt;""),Show!$B$16 &amp; "SR.25.02.01.01 Rows{Z}@ForceFilingCode:false","")</f>
        <v/>
      </c>
      <c r="B1032" t="str">
        <f>IF(AND(LEFT('SR.01.01.07'!$D$26,8)&lt;&gt;"Reported",'SR.01.01.07'!$D$26&lt;&gt;""),Show!$B$16&amp; Show!$B$16&amp;"SR.25.02.01.01 Rows{Z}@ForceFilingCode:false","")</f>
        <v/>
      </c>
    </row>
    <row r="1033" spans="1:2">
      <c r="A1033" t="str">
        <f>IF(AND(LEFT('SR.01.01.07'!$D$26,8)&lt;&gt;"Reported",'SR.01.01.07'!$D$26&lt;&gt;""),Show!$B$16 &amp; "SR.25.02.01.02 Rows{Z}@ForceFilingCode:false","")</f>
        <v/>
      </c>
      <c r="B1033" t="str">
        <f>IF(AND(LEFT('SR.01.01.07'!$D$26,8)&lt;&gt;"Reported",'SR.01.01.07'!$D$26&lt;&gt;""),Show!$B$16&amp; Show!$B$16&amp;"SR.25.02.01.02 Rows{Z}@ForceFilingCode:false","")</f>
        <v/>
      </c>
    </row>
    <row r="1034" spans="1:2">
      <c r="A1034" t="str">
        <f>IF(AND(LEFT('SR.01.01.07'!$D$26,8)&lt;&gt;"Reported",'SR.01.01.07'!$D$26&lt;&gt;""),Show!$B$16 &amp; "SR.25.02.01.03 Rows{Z}@ForceFilingCode:false","")</f>
        <v/>
      </c>
      <c r="B1034" t="str">
        <f>IF(AND(LEFT('SR.01.01.07'!$D$26,8)&lt;&gt;"Reported",'SR.01.01.07'!$D$26&lt;&gt;""),Show!$B$16&amp; Show!$B$16&amp;"SR.25.02.01.03 Rows{Z}@ForceFilingCode:false","")</f>
        <v/>
      </c>
    </row>
    <row r="1035" spans="1:2">
      <c r="A1035" t="str">
        <f>IF(AND(LEFT('SR.01.01.07'!$D$26,8)&lt;&gt;"Reported",'SR.01.01.07'!$D$26&lt;&gt;""),Show!$B$16 &amp; "SR.25.02.01.04 Rows{Z}@ForceFilingCode:false","")</f>
        <v/>
      </c>
      <c r="B1035" t="str">
        <f>IF(AND(LEFT('SR.01.01.07'!$D$26,8)&lt;&gt;"Reported",'SR.01.01.07'!$D$26&lt;&gt;""),Show!$B$16&amp; Show!$B$16&amp;"SR.25.02.01.04 Rows{Z}@ForceFilingCode:false","")</f>
        <v/>
      </c>
    </row>
    <row r="1036" spans="1:2">
      <c r="A1036" t="str">
        <f>IF(AND(LEFT('SR.01.01.07'!$D$26,8)&lt;&gt;"Reported",'SR.01.01.07'!$D$26&lt;&gt;""),Show!$B$16 &amp; "SR.25.02.01.05 Rows{Z}@ForceFilingCode:false","")</f>
        <v/>
      </c>
      <c r="B1036" t="str">
        <f>IF(AND(LEFT('SR.01.01.07'!$D$26,8)&lt;&gt;"Reported",'SR.01.01.07'!$D$26&lt;&gt;""),Show!$B$16&amp; Show!$B$16&amp;"SR.25.02.01.05 Rows{Z}@ForceFilingCode:false","")</f>
        <v/>
      </c>
    </row>
    <row r="1037" spans="1:2">
      <c r="A1037" t="str">
        <f>IF(AND(LEFT('SR.01.01.07'!$D$27,8)&lt;&gt;"Reported",'SR.01.01.07'!$D$27&lt;&gt;""),Show!$B$16 &amp; "SR.25.03.01.01 Rows{Z}@ForceFilingCode:false","")</f>
        <v/>
      </c>
      <c r="B1037" t="str">
        <f>IF(AND(LEFT('SR.01.01.07'!$D$27,8)&lt;&gt;"Reported",'SR.01.01.07'!$D$27&lt;&gt;""),Show!$B$16&amp; Show!$B$16&amp;"SR.25.03.01.01 Rows{Z}@ForceFilingCode:false","")</f>
        <v/>
      </c>
    </row>
    <row r="1038" spans="1:2">
      <c r="A1038" t="str">
        <f>IF(AND(LEFT('SR.01.01.07'!$D$27,8)&lt;&gt;"Reported",'SR.01.01.07'!$D$27&lt;&gt;""),Show!$B$16 &amp; "SR.25.03.01.02 Rows{Z}@ForceFilingCode:false","")</f>
        <v/>
      </c>
      <c r="B1038" t="str">
        <f>IF(AND(LEFT('SR.01.01.07'!$D$27,8)&lt;&gt;"Reported",'SR.01.01.07'!$D$27&lt;&gt;""),Show!$B$16&amp; Show!$B$16&amp;"SR.25.03.01.02 Rows{Z}@ForceFilingCode:false","")</f>
        <v/>
      </c>
    </row>
    <row r="1039" spans="1:2">
      <c r="A1039" t="str">
        <f>IF(AND(LEFT('SR.01.01.07'!$D$27,8)&lt;&gt;"Reported",'SR.01.01.07'!$D$27&lt;&gt;""),Show!$B$16 &amp; "SR.25.03.01.03 Rows{Z}@ForceFilingCode:false","")</f>
        <v/>
      </c>
      <c r="B1039" t="str">
        <f>IF(AND(LEFT('SR.01.01.07'!$D$27,8)&lt;&gt;"Reported",'SR.01.01.07'!$D$27&lt;&gt;""),Show!$B$16&amp; Show!$B$16&amp;"SR.25.03.01.03 Rows{Z}@ForceFilingCode:false","")</f>
        <v/>
      </c>
    </row>
    <row r="1040" spans="1:2">
      <c r="A1040" t="str">
        <f>IF(AND(LEFT('SR.01.01.07'!$D$27,8)&lt;&gt;"Reported",'SR.01.01.07'!$D$27&lt;&gt;""),Show!$B$16 &amp; "SR.25.03.01.04 Rows{Z}@ForceFilingCode:false","")</f>
        <v/>
      </c>
      <c r="B1040" t="str">
        <f>IF(AND(LEFT('SR.01.01.07'!$D$27,8)&lt;&gt;"Reported",'SR.01.01.07'!$D$27&lt;&gt;""),Show!$B$16&amp; Show!$B$16&amp;"SR.25.03.01.04 Rows{Z}@ForceFilingCode:false","")</f>
        <v/>
      </c>
    </row>
    <row r="1041" spans="1:2">
      <c r="A1041" t="str">
        <f>IF(AND(LEFT('SR.01.01.07'!$D$27,8)&lt;&gt;"Reported",'SR.01.01.07'!$D$27&lt;&gt;""),Show!$B$16 &amp; "SR.25.03.01.05 Rows{Z}@ForceFilingCode:false","")</f>
        <v/>
      </c>
      <c r="B1041" t="str">
        <f>IF(AND(LEFT('SR.01.01.07'!$D$27,8)&lt;&gt;"Reported",'SR.01.01.07'!$D$27&lt;&gt;""),Show!$B$16&amp; Show!$B$16&amp;"SR.25.03.01.05 Rows{Z}@ForceFilingCode:false","")</f>
        <v/>
      </c>
    </row>
    <row r="1042" spans="1:2">
      <c r="A1042" t="str">
        <f>IF(AND(LEFT('SR.01.01.07'!$D$28,8)&lt;&gt;"Reported",'SR.01.01.07'!$D$28&lt;&gt;""),Show!$B$16 &amp; "SR.26.01.01.01 Rows{Z}@ForceFilingCode:false","")</f>
        <v/>
      </c>
      <c r="B1042" t="str">
        <f>IF(AND(LEFT('SR.01.01.07'!$D$28,8)&lt;&gt;"Reported",'SR.01.01.07'!$D$28&lt;&gt;""),Show!$B$16&amp; Show!$B$16&amp;"SR.26.01.01.01 Rows{Z}@ForceFilingCode:false","")</f>
        <v/>
      </c>
    </row>
    <row r="1043" spans="1:2">
      <c r="A1043" t="str">
        <f>IF(AND(LEFT('SR.01.01.07'!$D$28,8)&lt;&gt;"Reported",'SR.01.01.07'!$D$28&lt;&gt;""),Show!$B$16 &amp; "SR.26.01.01.02 Rows{Z}@ForceFilingCode:false","")</f>
        <v/>
      </c>
      <c r="B1043" t="str">
        <f>IF(AND(LEFT('SR.01.01.07'!$D$28,8)&lt;&gt;"Reported",'SR.01.01.07'!$D$28&lt;&gt;""),Show!$B$16&amp; Show!$B$16&amp;"SR.26.01.01.02 Rows{Z}@ForceFilingCode:false","")</f>
        <v/>
      </c>
    </row>
    <row r="1044" spans="1:2">
      <c r="A1044" t="str">
        <f>IF(AND(LEFT('SR.01.01.07'!$D$28,8)&lt;&gt;"Reported",'SR.01.01.07'!$D$28&lt;&gt;""),Show!$B$16 &amp; "SR.26.01.01.03 Rows{Z}@ForceFilingCode:false","")</f>
        <v/>
      </c>
      <c r="B1044" t="str">
        <f>IF(AND(LEFT('SR.01.01.07'!$D$28,8)&lt;&gt;"Reported",'SR.01.01.07'!$D$28&lt;&gt;""),Show!$B$16&amp; Show!$B$16&amp;"SR.26.01.01.03 Rows{Z}@ForceFilingCode:false","")</f>
        <v/>
      </c>
    </row>
    <row r="1045" spans="1:2">
      <c r="A1045" t="str">
        <f>IF(AND(LEFT('SR.01.01.07'!$D$29,8)&lt;&gt;"Reported",'SR.01.01.07'!$D$29&lt;&gt;""),Show!$B$16 &amp; "SR.26.02.01.01 Rows{Z}@ForceFilingCode:false","")</f>
        <v/>
      </c>
      <c r="B1045" t="str">
        <f>IF(AND(LEFT('SR.01.01.07'!$D$29,8)&lt;&gt;"Reported",'SR.01.01.07'!$D$29&lt;&gt;""),Show!$B$16&amp; Show!$B$16&amp;"SR.26.02.01.01 Rows{Z}@ForceFilingCode:false","")</f>
        <v/>
      </c>
    </row>
    <row r="1046" spans="1:2">
      <c r="A1046" t="str">
        <f>IF(AND(LEFT('SR.01.01.07'!$D$29,8)&lt;&gt;"Reported",'SR.01.01.07'!$D$29&lt;&gt;""),Show!$B$16 &amp; "SR.26.02.01.02 Rows{Z}@ForceFilingCode:false","")</f>
        <v/>
      </c>
      <c r="B1046" t="str">
        <f>IF(AND(LEFT('SR.01.01.07'!$D$29,8)&lt;&gt;"Reported",'SR.01.01.07'!$D$29&lt;&gt;""),Show!$B$16&amp; Show!$B$16&amp;"SR.26.02.01.02 Rows{Z}@ForceFilingCode:false","")</f>
        <v/>
      </c>
    </row>
    <row r="1047" spans="1:2">
      <c r="A1047" t="str">
        <f>IF(AND(LEFT('SR.01.01.07'!$D$30,8)&lt;&gt;"Reported",'SR.01.01.07'!$D$30&lt;&gt;""),Show!$B$16 &amp; "SR.26.03.01.01 Rows{Z}@ForceFilingCode:false","")</f>
        <v/>
      </c>
      <c r="B1047" t="str">
        <f>IF(AND(LEFT('SR.01.01.07'!$D$30,8)&lt;&gt;"Reported",'SR.01.01.07'!$D$30&lt;&gt;""),Show!$B$16&amp; Show!$B$16&amp;"SR.26.03.01.01 Rows{Z}@ForceFilingCode:false","")</f>
        <v/>
      </c>
    </row>
    <row r="1048" spans="1:2">
      <c r="A1048" t="str">
        <f>IF(AND(LEFT('SR.01.01.07'!$D$30,8)&lt;&gt;"Reported",'SR.01.01.07'!$D$30&lt;&gt;""),Show!$B$16 &amp; "SR.26.03.01.02 Rows{Z}@ForceFilingCode:false","")</f>
        <v/>
      </c>
      <c r="B1048" t="str">
        <f>IF(AND(LEFT('SR.01.01.07'!$D$30,8)&lt;&gt;"Reported",'SR.01.01.07'!$D$30&lt;&gt;""),Show!$B$16&amp; Show!$B$16&amp;"SR.26.03.01.02 Rows{Z}@ForceFilingCode:false","")</f>
        <v/>
      </c>
    </row>
    <row r="1049" spans="1:2">
      <c r="A1049" t="str">
        <f>IF(AND(LEFT('SR.01.01.07'!$D$30,8)&lt;&gt;"Reported",'SR.01.01.07'!$D$30&lt;&gt;""),Show!$B$16 &amp; "SR.26.03.01.03 Rows{Z}@ForceFilingCode:false","")</f>
        <v/>
      </c>
      <c r="B1049" t="str">
        <f>IF(AND(LEFT('SR.01.01.07'!$D$30,8)&lt;&gt;"Reported",'SR.01.01.07'!$D$30&lt;&gt;""),Show!$B$16&amp; Show!$B$16&amp;"SR.26.03.01.03 Rows{Z}@ForceFilingCode:false","")</f>
        <v/>
      </c>
    </row>
    <row r="1050" spans="1:2">
      <c r="A1050" t="str">
        <f>IF(AND(LEFT('SR.01.01.07'!$D$30,8)&lt;&gt;"Reported",'SR.01.01.07'!$D$30&lt;&gt;""),Show!$B$16 &amp; "SR.26.03.01.04 Rows{Z}@ForceFilingCode:false","")</f>
        <v/>
      </c>
      <c r="B1050" t="str">
        <f>IF(AND(LEFT('SR.01.01.07'!$D$30,8)&lt;&gt;"Reported",'SR.01.01.07'!$D$30&lt;&gt;""),Show!$B$16&amp; Show!$B$16&amp;"SR.26.03.01.04 Rows{Z}@ForceFilingCode:false","")</f>
        <v/>
      </c>
    </row>
    <row r="1051" spans="1:2">
      <c r="A1051" t="str">
        <f>IF(AND(LEFT('SR.01.01.07'!$D$31,8)&lt;&gt;"Reported",'SR.01.01.07'!$D$31&lt;&gt;""),Show!$B$16 &amp; "SR.26.04.01.01 Rows{Z}@ForceFilingCode:false","")</f>
        <v/>
      </c>
      <c r="B1051" t="str">
        <f>IF(AND(LEFT('SR.01.01.07'!$D$31,8)&lt;&gt;"Reported",'SR.01.01.07'!$D$31&lt;&gt;""),Show!$B$16&amp; Show!$B$16&amp;"SR.26.04.01.01 Rows{Z}@ForceFilingCode:false","")</f>
        <v/>
      </c>
    </row>
    <row r="1052" spans="1:2">
      <c r="A1052" t="str">
        <f>IF(AND(LEFT('SR.01.01.07'!$D$31,8)&lt;&gt;"Reported",'SR.01.01.07'!$D$31&lt;&gt;""),Show!$B$16 &amp; "SR.26.04.01.02 Rows{Z}@ForceFilingCode:false","")</f>
        <v/>
      </c>
      <c r="B1052" t="str">
        <f>IF(AND(LEFT('SR.01.01.07'!$D$31,8)&lt;&gt;"Reported",'SR.01.01.07'!$D$31&lt;&gt;""),Show!$B$16&amp; Show!$B$16&amp;"SR.26.04.01.02 Rows{Z}@ForceFilingCode:false","")</f>
        <v/>
      </c>
    </row>
    <row r="1053" spans="1:2">
      <c r="A1053" t="str">
        <f>IF(AND(LEFT('SR.01.01.07'!$D$31,8)&lt;&gt;"Reported",'SR.01.01.07'!$D$31&lt;&gt;""),Show!$B$16 &amp; "SR.26.04.01.03 Rows{Z}@ForceFilingCode:false","")</f>
        <v/>
      </c>
      <c r="B1053" t="str">
        <f>IF(AND(LEFT('SR.01.01.07'!$D$31,8)&lt;&gt;"Reported",'SR.01.01.07'!$D$31&lt;&gt;""),Show!$B$16&amp; Show!$B$16&amp;"SR.26.04.01.03 Rows{Z}@ForceFilingCode:false","")</f>
        <v/>
      </c>
    </row>
    <row r="1054" spans="1:2">
      <c r="A1054" t="str">
        <f>IF(AND(LEFT('SR.01.01.07'!$D$31,8)&lt;&gt;"Reported",'SR.01.01.07'!$D$31&lt;&gt;""),Show!$B$16 &amp; "SR.26.04.01.04 Rows{Z}@ForceFilingCode:false","")</f>
        <v/>
      </c>
      <c r="B1054" t="str">
        <f>IF(AND(LEFT('SR.01.01.07'!$D$31,8)&lt;&gt;"Reported",'SR.01.01.07'!$D$31&lt;&gt;""),Show!$B$16&amp; Show!$B$16&amp;"SR.26.04.01.04 Rows{Z}@ForceFilingCode:false","")</f>
        <v/>
      </c>
    </row>
    <row r="1055" spans="1:2">
      <c r="A1055" t="str">
        <f>IF(AND(LEFT('SR.01.01.07'!$D$31,8)&lt;&gt;"Reported",'SR.01.01.07'!$D$31&lt;&gt;""),Show!$B$16 &amp; "SR.26.04.01.05 Rows{Z}@ForceFilingCode:false","")</f>
        <v/>
      </c>
      <c r="B1055" t="str">
        <f>IF(AND(LEFT('SR.01.01.07'!$D$31,8)&lt;&gt;"Reported",'SR.01.01.07'!$D$31&lt;&gt;""),Show!$B$16&amp; Show!$B$16&amp;"SR.26.04.01.05 Rows{Z}@ForceFilingCode:false","")</f>
        <v/>
      </c>
    </row>
    <row r="1056" spans="1:2">
      <c r="A1056" t="str">
        <f>IF(AND(LEFT('SR.01.01.07'!$D$31,8)&lt;&gt;"Reported",'SR.01.01.07'!$D$31&lt;&gt;""),Show!$B$16 &amp; "SR.26.04.01.06 Rows{Z}@ForceFilingCode:false","")</f>
        <v/>
      </c>
      <c r="B1056" t="str">
        <f>IF(AND(LEFT('SR.01.01.07'!$D$31,8)&lt;&gt;"Reported",'SR.01.01.07'!$D$31&lt;&gt;""),Show!$B$16&amp; Show!$B$16&amp;"SR.26.04.01.06 Rows{Z}@ForceFilingCode:false","")</f>
        <v/>
      </c>
    </row>
    <row r="1057" spans="1:2">
      <c r="A1057" t="str">
        <f>IF(AND(LEFT('SR.01.01.07'!$D$31,8)&lt;&gt;"Reported",'SR.01.01.07'!$D$31&lt;&gt;""),Show!$B$16 &amp; "SR.26.04.01.07 Rows{Z}@ForceFilingCode:false","")</f>
        <v/>
      </c>
      <c r="B1057" t="str">
        <f>IF(AND(LEFT('SR.01.01.07'!$D$31,8)&lt;&gt;"Reported",'SR.01.01.07'!$D$31&lt;&gt;""),Show!$B$16&amp; Show!$B$16&amp;"SR.26.04.01.07 Rows{Z}@ForceFilingCode:false","")</f>
        <v/>
      </c>
    </row>
    <row r="1058" spans="1:2">
      <c r="A1058" t="str">
        <f>IF(AND(LEFT('SR.01.01.07'!$D$31,8)&lt;&gt;"Reported",'SR.01.01.07'!$D$31&lt;&gt;""),Show!$B$16 &amp; "SR.26.04.01.08 Rows{Z}@ForceFilingCode:false","")</f>
        <v/>
      </c>
      <c r="B1058" t="str">
        <f>IF(AND(LEFT('SR.01.01.07'!$D$31,8)&lt;&gt;"Reported",'SR.01.01.07'!$D$31&lt;&gt;""),Show!$B$16&amp; Show!$B$16&amp;"SR.26.04.01.08 Rows{Z}@ForceFilingCode:false","")</f>
        <v/>
      </c>
    </row>
    <row r="1059" spans="1:2">
      <c r="A1059" t="str">
        <f>IF(AND(LEFT('SR.01.01.07'!$D$31,8)&lt;&gt;"Reported",'SR.01.01.07'!$D$31&lt;&gt;""),Show!$B$16 &amp; "SR.26.04.01.09 Rows{Z}@ForceFilingCode:false","")</f>
        <v/>
      </c>
      <c r="B1059" t="str">
        <f>IF(AND(LEFT('SR.01.01.07'!$D$31,8)&lt;&gt;"Reported",'SR.01.01.07'!$D$31&lt;&gt;""),Show!$B$16&amp; Show!$B$16&amp;"SR.26.04.01.09 Rows{Z}@ForceFilingCode:false","")</f>
        <v/>
      </c>
    </row>
    <row r="1060" spans="1:2">
      <c r="A1060" t="str">
        <f>IF(AND(LEFT('SR.01.01.07'!$D$32,8)&lt;&gt;"Reported",'SR.01.01.07'!$D$32&lt;&gt;""),Show!$B$16 &amp; "SR.26.05.01.01 Rows{Z}@ForceFilingCode:false","")</f>
        <v/>
      </c>
      <c r="B1060" t="str">
        <f>IF(AND(LEFT('SR.01.01.07'!$D$32,8)&lt;&gt;"Reported",'SR.01.01.07'!$D$32&lt;&gt;""),Show!$B$16&amp; Show!$B$16&amp;"SR.26.05.01.01 Rows{Z}@ForceFilingCode:false","")</f>
        <v/>
      </c>
    </row>
    <row r="1061" spans="1:2">
      <c r="A1061" t="str">
        <f>IF(AND(LEFT('SR.01.01.07'!$D$32,8)&lt;&gt;"Reported",'SR.01.01.07'!$D$32&lt;&gt;""),Show!$B$16 &amp; "SR.26.05.01.02 Rows{Z}@ForceFilingCode:false","")</f>
        <v/>
      </c>
      <c r="B1061" t="str">
        <f>IF(AND(LEFT('SR.01.01.07'!$D$32,8)&lt;&gt;"Reported",'SR.01.01.07'!$D$32&lt;&gt;""),Show!$B$16&amp; Show!$B$16&amp;"SR.26.05.01.02 Rows{Z}@ForceFilingCode:false","")</f>
        <v/>
      </c>
    </row>
    <row r="1062" spans="1:2">
      <c r="A1062" t="str">
        <f>IF(AND(LEFT('SR.01.01.07'!$D$32,8)&lt;&gt;"Reported",'SR.01.01.07'!$D$32&lt;&gt;""),Show!$B$16 &amp; "SR.26.05.01.03 Rows{Z}@ForceFilingCode:false","")</f>
        <v/>
      </c>
      <c r="B1062" t="str">
        <f>IF(AND(LEFT('SR.01.01.07'!$D$32,8)&lt;&gt;"Reported",'SR.01.01.07'!$D$32&lt;&gt;""),Show!$B$16&amp; Show!$B$16&amp;"SR.26.05.01.03 Rows{Z}@ForceFilingCode:false","")</f>
        <v/>
      </c>
    </row>
    <row r="1063" spans="1:2">
      <c r="A1063" t="str">
        <f>IF(AND(LEFT('SR.01.01.07'!$D$32,8)&lt;&gt;"Reported",'SR.01.01.07'!$D$32&lt;&gt;""),Show!$B$16 &amp; "SR.26.05.01.04 Rows{Z}@ForceFilingCode:false","")</f>
        <v/>
      </c>
      <c r="B1063" t="str">
        <f>IF(AND(LEFT('SR.01.01.07'!$D$32,8)&lt;&gt;"Reported",'SR.01.01.07'!$D$32&lt;&gt;""),Show!$B$16&amp; Show!$B$16&amp;"SR.26.05.01.04 Rows{Z}@ForceFilingCode:false","")</f>
        <v/>
      </c>
    </row>
    <row r="1064" spans="1:2">
      <c r="A1064" t="str">
        <f>IF(AND(LEFT('SR.01.01.07'!$D$32,8)&lt;&gt;"Reported",'SR.01.01.07'!$D$32&lt;&gt;""),Show!$B$16 &amp; "SR.26.05.01.05 Rows{Z}@ForceFilingCode:false","")</f>
        <v/>
      </c>
      <c r="B1064" t="str">
        <f>IF(AND(LEFT('SR.01.01.07'!$D$32,8)&lt;&gt;"Reported",'SR.01.01.07'!$D$32&lt;&gt;""),Show!$B$16&amp; Show!$B$16&amp;"SR.26.05.01.05 Rows{Z}@ForceFilingCode:false","")</f>
        <v/>
      </c>
    </row>
    <row r="1065" spans="1:2">
      <c r="A1065" t="str">
        <f>IF(AND(LEFT('SR.01.01.07'!$D$33,8)&lt;&gt;"Reported",'SR.01.01.07'!$D$33&lt;&gt;""),Show!$B$16 &amp; "SR.26.06.01.01 Rows{Z}@ForceFilingCode:false","")</f>
        <v/>
      </c>
      <c r="B1065" t="str">
        <f>IF(AND(LEFT('SR.01.01.07'!$D$33,8)&lt;&gt;"Reported",'SR.01.01.07'!$D$33&lt;&gt;""),Show!$B$16&amp; Show!$B$16&amp;"SR.26.06.01.01 Rows{Z}@ForceFilingCode:false","")</f>
        <v/>
      </c>
    </row>
    <row r="1066" spans="1:2">
      <c r="A1066" t="str">
        <f>IF(AND(LEFT('SR.01.01.07'!$D$34,8)&lt;&gt;"Reported",'SR.01.01.07'!$D$34&lt;&gt;""),Show!$B$16 &amp; "SR.26.07.01.01 Rows{Z}@ForceFilingCode:false","")</f>
        <v/>
      </c>
      <c r="B1066" t="str">
        <f>IF(AND(LEFT('SR.01.01.07'!$D$34,8)&lt;&gt;"Reported",'SR.01.01.07'!$D$34&lt;&gt;""),Show!$B$16&amp; Show!$B$16&amp;"SR.26.07.01.01 Rows{Z}@ForceFilingCode:false","")</f>
        <v/>
      </c>
    </row>
    <row r="1067" spans="1:2">
      <c r="A1067" t="str">
        <f>IF(AND(LEFT('SR.01.01.07'!$D$34,8)&lt;&gt;"Reported",'SR.01.01.07'!$D$34&lt;&gt;""),Show!$B$16 &amp; "SR.26.07.01.02 Rows{Z}@ForceFilingCode:false","")</f>
        <v/>
      </c>
      <c r="B1067" t="str">
        <f>IF(AND(LEFT('SR.01.01.07'!$D$34,8)&lt;&gt;"Reported",'SR.01.01.07'!$D$34&lt;&gt;""),Show!$B$16&amp; Show!$B$16&amp;"SR.26.07.01.02 Rows{Z}@ForceFilingCode:false","")</f>
        <v/>
      </c>
    </row>
    <row r="1068" spans="1:2">
      <c r="A1068" t="str">
        <f>IF(AND(LEFT('SR.01.01.07'!$D$34,8)&lt;&gt;"Reported",'SR.01.01.07'!$D$34&lt;&gt;""),Show!$B$16 &amp; "SR.26.07.01.03 Rows{Z}@ForceFilingCode:false","")</f>
        <v/>
      </c>
      <c r="B1068" t="str">
        <f>IF(AND(LEFT('SR.01.01.07'!$D$34,8)&lt;&gt;"Reported",'SR.01.01.07'!$D$34&lt;&gt;""),Show!$B$16&amp; Show!$B$16&amp;"SR.26.07.01.03 Rows{Z}@ForceFilingCode:false","")</f>
        <v/>
      </c>
    </row>
    <row r="1069" spans="1:2">
      <c r="A1069" t="str">
        <f>IF(AND(LEFT('SR.01.01.07'!$D$34,8)&lt;&gt;"Reported",'SR.01.01.07'!$D$34&lt;&gt;""),Show!$B$16 &amp; "SR.26.07.01.04 Rows{Z}@ForceFilingCode:false","")</f>
        <v/>
      </c>
      <c r="B1069" t="str">
        <f>IF(AND(LEFT('SR.01.01.07'!$D$34,8)&lt;&gt;"Reported",'SR.01.01.07'!$D$34&lt;&gt;""),Show!$B$16&amp; Show!$B$16&amp;"SR.26.07.01.04 Rows{Z}@ForceFilingCode:false","")</f>
        <v/>
      </c>
    </row>
    <row r="1070" spans="1:2">
      <c r="A1070" t="str">
        <f>IF(AND(LEFT('SR.01.01.07'!$D$34,8)&lt;&gt;"Reported",'SR.01.01.07'!$D$34&lt;&gt;""),Show!$B$16 &amp; "SR.26.07.01.05 Rows{Z}@ForceFilingCode:false","")</f>
        <v/>
      </c>
      <c r="B1070" t="str">
        <f>IF(AND(LEFT('SR.01.01.07'!$D$34,8)&lt;&gt;"Reported",'SR.01.01.07'!$D$34&lt;&gt;""),Show!$B$16&amp; Show!$B$16&amp;"SR.26.07.01.05 Rows{Z}@ForceFilingCode:false","")</f>
        <v/>
      </c>
    </row>
    <row r="1071" spans="1:2">
      <c r="A1071" t="str">
        <f>IF(AND(LEFT('SR.01.01.07'!$D$34,8)&lt;&gt;"Reported",'SR.01.01.07'!$D$34&lt;&gt;""),Show!$B$16 &amp; "SR.26.07.01.06 Rows{Z}@ForceFilingCode:false","")</f>
        <v/>
      </c>
      <c r="B1071" t="str">
        <f>IF(AND(LEFT('SR.01.01.07'!$D$34,8)&lt;&gt;"Reported",'SR.01.01.07'!$D$34&lt;&gt;""),Show!$B$16&amp; Show!$B$16&amp;"SR.26.07.01.06 Rows{Z}@ForceFilingCode:false","")</f>
        <v/>
      </c>
    </row>
    <row r="1072" spans="1:2">
      <c r="A1072" t="str">
        <f>IF(AND(LEFT('SR.01.01.07'!$D$35,8)&lt;&gt;"Reported",'SR.01.01.07'!$D$35&lt;&gt;""),Show!$B$16 &amp; "SR.27.01.01.01 Rows{Z}@ForceFilingCode:false","")</f>
        <v/>
      </c>
      <c r="B1072" t="str">
        <f>IF(AND(LEFT('SR.01.01.07'!$D$35,8)&lt;&gt;"Reported",'SR.01.01.07'!$D$35&lt;&gt;""),Show!$B$16&amp; Show!$B$16&amp;"SR.27.01.01.01 Rows{Z}@ForceFilingCode:false","")</f>
        <v/>
      </c>
    </row>
    <row r="1073" spans="1:2">
      <c r="A1073" t="str">
        <f>IF(AND(LEFT('SR.01.01.07'!$D$35,8)&lt;&gt;"Reported",'SR.01.01.07'!$D$35&lt;&gt;""),Show!$B$16 &amp; "SR.27.01.01.02 Rows{Z}@ForceFilingCode:false","")</f>
        <v/>
      </c>
      <c r="B1073" t="str">
        <f>IF(AND(LEFT('SR.01.01.07'!$D$35,8)&lt;&gt;"Reported",'SR.01.01.07'!$D$35&lt;&gt;""),Show!$B$16&amp; Show!$B$16&amp;"SR.27.01.01.02 Rows{Z}@ForceFilingCode:false","")</f>
        <v/>
      </c>
    </row>
    <row r="1074" spans="1:2">
      <c r="A1074" t="str">
        <f>IF(AND(LEFT('SR.01.01.07'!$D$35,8)&lt;&gt;"Reported",'SR.01.01.07'!$D$35&lt;&gt;""),Show!$B$16 &amp; "SR.27.01.01.03 Rows{Z}@ForceFilingCode:false","")</f>
        <v/>
      </c>
      <c r="B1074" t="str">
        <f>IF(AND(LEFT('SR.01.01.07'!$D$35,8)&lt;&gt;"Reported",'SR.01.01.07'!$D$35&lt;&gt;""),Show!$B$16&amp; Show!$B$16&amp;"SR.27.01.01.03 Rows{Z}@ForceFilingCode:false","")</f>
        <v/>
      </c>
    </row>
    <row r="1075" spans="1:2">
      <c r="A1075" t="str">
        <f>IF(AND(LEFT('SR.01.01.07'!$D$35,8)&lt;&gt;"Reported",'SR.01.01.07'!$D$35&lt;&gt;""),Show!$B$16 &amp; "SR.27.01.01.04 Rows{Z}@ForceFilingCode:false","")</f>
        <v/>
      </c>
      <c r="B1075" t="str">
        <f>IF(AND(LEFT('SR.01.01.07'!$D$35,8)&lt;&gt;"Reported",'SR.01.01.07'!$D$35&lt;&gt;""),Show!$B$16&amp; Show!$B$16&amp;"SR.27.01.01.04 Rows{Z}@ForceFilingCode:false","")</f>
        <v/>
      </c>
    </row>
    <row r="1076" spans="1:2">
      <c r="A1076" t="str">
        <f>IF(AND(LEFT('SR.01.01.07'!$D$35,8)&lt;&gt;"Reported",'SR.01.01.07'!$D$35&lt;&gt;""),Show!$B$16 &amp; "SR.27.01.01.05 Rows{Z}@ForceFilingCode:false","")</f>
        <v/>
      </c>
      <c r="B1076" t="str">
        <f>IF(AND(LEFT('SR.01.01.07'!$D$35,8)&lt;&gt;"Reported",'SR.01.01.07'!$D$35&lt;&gt;""),Show!$B$16&amp; Show!$B$16&amp;"SR.27.01.01.05 Rows{Z}@ForceFilingCode:false","")</f>
        <v/>
      </c>
    </row>
    <row r="1077" spans="1:2">
      <c r="A1077" t="str">
        <f>IF(AND(LEFT('SR.01.01.07'!$D$35,8)&lt;&gt;"Reported",'SR.01.01.07'!$D$35&lt;&gt;""),Show!$B$16 &amp; "SR.27.01.01.06 Rows{Z}@ForceFilingCode:false","")</f>
        <v/>
      </c>
      <c r="B1077" t="str">
        <f>IF(AND(LEFT('SR.01.01.07'!$D$35,8)&lt;&gt;"Reported",'SR.01.01.07'!$D$35&lt;&gt;""),Show!$B$16&amp; Show!$B$16&amp;"SR.27.01.01.06 Rows{Z}@ForceFilingCode:false","")</f>
        <v/>
      </c>
    </row>
    <row r="1078" spans="1:2">
      <c r="A1078" t="str">
        <f>IF(AND(LEFT('SR.01.01.07'!$D$35,8)&lt;&gt;"Reported",'SR.01.01.07'!$D$35&lt;&gt;""),Show!$B$16 &amp; "SR.27.01.01.07 Rows{Z}@ForceFilingCode:false","")</f>
        <v/>
      </c>
      <c r="B1078" t="str">
        <f>IF(AND(LEFT('SR.01.01.07'!$D$35,8)&lt;&gt;"Reported",'SR.01.01.07'!$D$35&lt;&gt;""),Show!$B$16&amp; Show!$B$16&amp;"SR.27.01.01.07 Rows{Z}@ForceFilingCode:false","")</f>
        <v/>
      </c>
    </row>
    <row r="1079" spans="1:2">
      <c r="A1079" t="str">
        <f>IF(AND(LEFT('SR.01.01.07'!$D$35,8)&lt;&gt;"Reported",'SR.01.01.07'!$D$35&lt;&gt;""),Show!$B$16 &amp; "SR.27.01.01.08 Rows{Z}@ForceFilingCode:false","")</f>
        <v/>
      </c>
      <c r="B1079" t="str">
        <f>IF(AND(LEFT('SR.01.01.07'!$D$35,8)&lt;&gt;"Reported",'SR.01.01.07'!$D$35&lt;&gt;""),Show!$B$16&amp; Show!$B$16&amp;"SR.27.01.01.08 Rows{Z}@ForceFilingCode:false","")</f>
        <v/>
      </c>
    </row>
    <row r="1080" spans="1:2">
      <c r="A1080" t="str">
        <f>IF(AND(LEFT('SR.01.01.07'!$D$35,8)&lt;&gt;"Reported",'SR.01.01.07'!$D$35&lt;&gt;""),Show!$B$16 &amp; "SR.27.01.01.09 Rows{Z}@ForceFilingCode:false","")</f>
        <v/>
      </c>
      <c r="B1080" t="str">
        <f>IF(AND(LEFT('SR.01.01.07'!$D$35,8)&lt;&gt;"Reported",'SR.01.01.07'!$D$35&lt;&gt;""),Show!$B$16&amp; Show!$B$16&amp;"SR.27.01.01.09 Rows{Z}@ForceFilingCode:false","")</f>
        <v/>
      </c>
    </row>
    <row r="1081" spans="1:2">
      <c r="A1081" t="str">
        <f>IF(AND(LEFT('SR.01.01.07'!$D$35,8)&lt;&gt;"Reported",'SR.01.01.07'!$D$35&lt;&gt;""),Show!$B$16 &amp; "SR.27.01.01.10 Rows{Z}@ForceFilingCode:false","")</f>
        <v/>
      </c>
      <c r="B1081" t="str">
        <f>IF(AND(LEFT('SR.01.01.07'!$D$35,8)&lt;&gt;"Reported",'SR.01.01.07'!$D$35&lt;&gt;""),Show!$B$16&amp; Show!$B$16&amp;"SR.27.01.01.10 Rows{Z}@ForceFilingCode:false","")</f>
        <v/>
      </c>
    </row>
    <row r="1082" spans="1:2">
      <c r="A1082" t="str">
        <f>IF(AND(LEFT('SR.01.01.07'!$D$35,8)&lt;&gt;"Reported",'SR.01.01.07'!$D$35&lt;&gt;""),Show!$B$16 &amp; "SR.27.01.01.11 Rows{Z}@ForceFilingCode:false","")</f>
        <v/>
      </c>
      <c r="B1082" t="str">
        <f>IF(AND(LEFT('SR.01.01.07'!$D$35,8)&lt;&gt;"Reported",'SR.01.01.07'!$D$35&lt;&gt;""),Show!$B$16&amp; Show!$B$16&amp;"SR.27.01.01.11 Rows{Z}@ForceFilingCode:false","")</f>
        <v/>
      </c>
    </row>
    <row r="1083" spans="1:2">
      <c r="A1083" t="str">
        <f>IF(AND(LEFT('SR.01.01.07'!$D$35,8)&lt;&gt;"Reported",'SR.01.01.07'!$D$35&lt;&gt;""),Show!$B$16 &amp; "SR.27.01.01.12 Rows{Z}@ForceFilingCode:false","")</f>
        <v/>
      </c>
      <c r="B1083" t="str">
        <f>IF(AND(LEFT('SR.01.01.07'!$D$35,8)&lt;&gt;"Reported",'SR.01.01.07'!$D$35&lt;&gt;""),Show!$B$16&amp; Show!$B$16&amp;"SR.27.01.01.12 Rows{Z}@ForceFilingCode:false","")</f>
        <v/>
      </c>
    </row>
    <row r="1084" spans="1:2">
      <c r="A1084" t="str">
        <f>IF(AND(LEFT('SR.01.01.07'!$D$35,8)&lt;&gt;"Reported",'SR.01.01.07'!$D$35&lt;&gt;""),Show!$B$16 &amp; "SR.27.01.01.13 Rows{Z}@ForceFilingCode:false","")</f>
        <v/>
      </c>
      <c r="B1084" t="str">
        <f>IF(AND(LEFT('SR.01.01.07'!$D$35,8)&lt;&gt;"Reported",'SR.01.01.07'!$D$35&lt;&gt;""),Show!$B$16&amp; Show!$B$16&amp;"SR.27.01.01.13 Rows{Z}@ForceFilingCode:false","")</f>
        <v/>
      </c>
    </row>
    <row r="1085" spans="1:2">
      <c r="A1085" t="str">
        <f>IF(AND(LEFT('SR.01.01.07'!$D$35,8)&lt;&gt;"Reported",'SR.01.01.07'!$D$35&lt;&gt;""),Show!$B$16 &amp; "SR.27.01.01.14 Rows{Z}@ForceFilingCode:false","")</f>
        <v/>
      </c>
      <c r="B1085" t="str">
        <f>IF(AND(LEFT('SR.01.01.07'!$D$35,8)&lt;&gt;"Reported",'SR.01.01.07'!$D$35&lt;&gt;""),Show!$B$16&amp; Show!$B$16&amp;"SR.27.01.01.14 Rows{Z}@ForceFilingCode:false","")</f>
        <v/>
      </c>
    </row>
    <row r="1086" spans="1:2">
      <c r="A1086" t="str">
        <f>IF(AND(LEFT('SR.01.01.07'!$D$35,8)&lt;&gt;"Reported",'SR.01.01.07'!$D$35&lt;&gt;""),Show!$B$16 &amp; "SR.27.01.01.15 Rows{Z}@ForceFilingCode:false","")</f>
        <v/>
      </c>
      <c r="B1086" t="str">
        <f>IF(AND(LEFT('SR.01.01.07'!$D$35,8)&lt;&gt;"Reported",'SR.01.01.07'!$D$35&lt;&gt;""),Show!$B$16&amp; Show!$B$16&amp;"SR.27.01.01.15 Rows{Z}@ForceFilingCode:false","")</f>
        <v/>
      </c>
    </row>
    <row r="1087" spans="1:2">
      <c r="A1087" t="str">
        <f>IF(AND(LEFT('SR.01.01.07'!$D$35,8)&lt;&gt;"Reported",'SR.01.01.07'!$D$35&lt;&gt;""),Show!$B$16 &amp; "SR.27.01.01.16 Rows{Z}@ForceFilingCode:false","")</f>
        <v/>
      </c>
      <c r="B1087" t="str">
        <f>IF(AND(LEFT('SR.01.01.07'!$D$35,8)&lt;&gt;"Reported",'SR.01.01.07'!$D$35&lt;&gt;""),Show!$B$16&amp; Show!$B$16&amp;"SR.27.01.01.16 Rows{Z}@ForceFilingCode:false","")</f>
        <v/>
      </c>
    </row>
    <row r="1088" spans="1:2">
      <c r="A1088" t="str">
        <f>IF(AND(LEFT('SR.01.01.07'!$D$35,8)&lt;&gt;"Reported",'SR.01.01.07'!$D$35&lt;&gt;""),Show!$B$16 &amp; "SR.27.01.01.17 Rows{Z}@ForceFilingCode:false","")</f>
        <v/>
      </c>
      <c r="B1088" t="str">
        <f>IF(AND(LEFT('SR.01.01.07'!$D$35,8)&lt;&gt;"Reported",'SR.01.01.07'!$D$35&lt;&gt;""),Show!$B$16&amp; Show!$B$16&amp;"SR.27.01.01.17 Rows{Z}@ForceFilingCode:false","")</f>
        <v/>
      </c>
    </row>
    <row r="1089" spans="1:2">
      <c r="A1089" t="str">
        <f>IF(AND(LEFT('SR.01.01.07'!$D$35,8)&lt;&gt;"Reported",'SR.01.01.07'!$D$35&lt;&gt;""),Show!$B$16 &amp; "SR.27.01.01.18 Rows{Z}@ForceFilingCode:false","")</f>
        <v/>
      </c>
      <c r="B1089" t="str">
        <f>IF(AND(LEFT('SR.01.01.07'!$D$35,8)&lt;&gt;"Reported",'SR.01.01.07'!$D$35&lt;&gt;""),Show!$B$16&amp; Show!$B$16&amp;"SR.27.01.01.18 Rows{Z}@ForceFilingCode:false","")</f>
        <v/>
      </c>
    </row>
    <row r="1090" spans="1:2">
      <c r="A1090" t="str">
        <f>IF(AND(LEFT('SR.01.01.07'!$D$35,8)&lt;&gt;"Reported",'SR.01.01.07'!$D$35&lt;&gt;""),Show!$B$16 &amp; "SR.27.01.01.19 Rows{Z}@ForceFilingCode:false","")</f>
        <v/>
      </c>
      <c r="B1090" t="str">
        <f>IF(AND(LEFT('SR.01.01.07'!$D$35,8)&lt;&gt;"Reported",'SR.01.01.07'!$D$35&lt;&gt;""),Show!$B$16&amp; Show!$B$16&amp;"SR.27.01.01.19 Rows{Z}@ForceFilingCode:false","")</f>
        <v/>
      </c>
    </row>
    <row r="1091" spans="1:2">
      <c r="A1091" t="str">
        <f>IF(AND(LEFT('SR.01.01.07'!$D$35,8)&lt;&gt;"Reported",'SR.01.01.07'!$D$35&lt;&gt;""),Show!$B$16 &amp; "SR.27.01.01.20 Rows{Z}@ForceFilingCode:false","")</f>
        <v/>
      </c>
      <c r="B1091" t="str">
        <f>IF(AND(LEFT('SR.01.01.07'!$D$35,8)&lt;&gt;"Reported",'SR.01.01.07'!$D$35&lt;&gt;""),Show!$B$16&amp; Show!$B$16&amp;"SR.27.01.01.20 Rows{Z}@ForceFilingCode:false","")</f>
        <v/>
      </c>
    </row>
    <row r="1092" spans="1:2">
      <c r="A1092" t="str">
        <f>IF(AND(LEFT('SR.01.01.07'!$D$35,8)&lt;&gt;"Reported",'SR.01.01.07'!$D$35&lt;&gt;""),Show!$B$16 &amp; "SR.27.01.01.21 Rows{Z}@ForceFilingCode:false","")</f>
        <v/>
      </c>
      <c r="B1092" t="str">
        <f>IF(AND(LEFT('SR.01.01.07'!$D$35,8)&lt;&gt;"Reported",'SR.01.01.07'!$D$35&lt;&gt;""),Show!$B$16&amp; Show!$B$16&amp;"SR.27.01.01.21 Rows{Z}@ForceFilingCode:false","")</f>
        <v/>
      </c>
    </row>
    <row r="1093" spans="1:2">
      <c r="A1093" t="str">
        <f>IF(AND(LEFT('SR.01.01.07'!$D$35,8)&lt;&gt;"Reported",'SR.01.01.07'!$D$35&lt;&gt;""),Show!$B$16 &amp; "SR.27.01.01.22 Rows{Z}@ForceFilingCode:false","")</f>
        <v/>
      </c>
      <c r="B1093" t="str">
        <f>IF(AND(LEFT('SR.01.01.07'!$D$35,8)&lt;&gt;"Reported",'SR.01.01.07'!$D$35&lt;&gt;""),Show!$B$16&amp; Show!$B$16&amp;"SR.27.01.01.22 Rows{Z}@ForceFilingCode:false","")</f>
        <v/>
      </c>
    </row>
    <row r="1094" spans="1:2">
      <c r="A1094" t="str">
        <f>IF(AND(LEFT('SR.01.01.07'!$D$35,8)&lt;&gt;"Reported",'SR.01.01.07'!$D$35&lt;&gt;""),Show!$B$16 &amp; "SR.27.01.01.23 Rows{Z}@ForceFilingCode:false","")</f>
        <v/>
      </c>
      <c r="B1094" t="str">
        <f>IF(AND(LEFT('SR.01.01.07'!$D$35,8)&lt;&gt;"Reported",'SR.01.01.07'!$D$35&lt;&gt;""),Show!$B$16&amp; Show!$B$16&amp;"SR.27.01.01.23 Rows{Z}@ForceFilingCode:false","")</f>
        <v/>
      </c>
    </row>
    <row r="1095" spans="1:2">
      <c r="A1095" t="str">
        <f>IF(AND(LEFT('SR.01.01.07'!$D$35,8)&lt;&gt;"Reported",'SR.01.01.07'!$D$35&lt;&gt;""),Show!$B$16 &amp; "SR.27.01.01.24 Rows{Z}@ForceFilingCode:false","")</f>
        <v/>
      </c>
      <c r="B1095" t="str">
        <f>IF(AND(LEFT('SR.01.01.07'!$D$35,8)&lt;&gt;"Reported",'SR.01.01.07'!$D$35&lt;&gt;""),Show!$B$16&amp; Show!$B$16&amp;"SR.27.01.01.24 Rows{Z}@ForceFilingCode:false","")</f>
        <v/>
      </c>
    </row>
    <row r="1096" spans="1:2">
      <c r="A1096" t="str">
        <f>IF(AND(LEFT('SR.01.01.07'!$D$35,8)&lt;&gt;"Reported",'SR.01.01.07'!$D$35&lt;&gt;""),Show!$B$16 &amp; "SR.27.01.01.25 Rows{Z}@ForceFilingCode:false","")</f>
        <v/>
      </c>
      <c r="B1096" t="str">
        <f>IF(AND(LEFT('SR.01.01.07'!$D$35,8)&lt;&gt;"Reported",'SR.01.01.07'!$D$35&lt;&gt;""),Show!$B$16&amp; Show!$B$16&amp;"SR.27.01.01.25 Rows{Z}@ForceFilingCode:false","")</f>
        <v/>
      </c>
    </row>
    <row r="1097" spans="1:2">
      <c r="A1097" t="str">
        <f>IF(AND(LEFT('SR.01.01.07'!$D$35,8)&lt;&gt;"Reported",'SR.01.01.07'!$D$35&lt;&gt;""),Show!$B$16 &amp; "SR.27.01.01.26 Rows{Z}@ForceFilingCode:false","")</f>
        <v/>
      </c>
      <c r="B1097" t="str">
        <f>IF(AND(LEFT('SR.01.01.07'!$D$35,8)&lt;&gt;"Reported",'SR.01.01.07'!$D$35&lt;&gt;""),Show!$B$16&amp; Show!$B$16&amp;"SR.27.01.01.26 Rows{Z}@ForceFilingCode:false","")</f>
        <v/>
      </c>
    </row>
    <row r="1098" spans="1:2">
      <c r="A1098" t="str">
        <f>IF(AND(LEFT('SR.01.01.07'!$D$35,8)&lt;&gt;"Reported",'SR.01.01.07'!$D$35&lt;&gt;""),Show!$B$16 &amp; "SR.27.01.01.27 Rows{Z}@ForceFilingCode:false","")</f>
        <v/>
      </c>
      <c r="B1098" t="str">
        <f>IF(AND(LEFT('SR.01.01.07'!$D$35,8)&lt;&gt;"Reported",'SR.01.01.07'!$D$35&lt;&gt;""),Show!$B$16&amp; Show!$B$16&amp;"SR.27.01.01.27 Rows{Z}@ForceFilingCode:false","")</f>
        <v/>
      </c>
    </row>
    <row r="1099" spans="1:2">
      <c r="A1099" t="str">
        <f>IF(AND(LEFT('SR.01.01.07'!$D$35,8)&lt;&gt;"Reported",'SR.01.01.07'!$D$35&lt;&gt;""),Show!$B$16 &amp; "SR.27.01.01.28 Rows{Z}@ForceFilingCode:false","")</f>
        <v/>
      </c>
      <c r="B1099" t="str">
        <f>IF(AND(LEFT('SR.01.01.07'!$D$35,8)&lt;&gt;"Reported",'SR.01.01.07'!$D$35&lt;&gt;""),Show!$B$16&amp; Show!$B$16&amp;"SR.27.01.01.28 Rows{Z}@ForceFilingCode:false","")</f>
        <v/>
      </c>
    </row>
    <row r="1100" spans="1:2">
      <c r="A1100" t="str">
        <f>IF(AND(LEFT('SE.01.01.16'!$D$16,8)&lt;&gt;"Reported",'SE.01.01.16'!$D$16&lt;&gt;""),Show!$B$17 &amp; "S.01.02.01.01 Rows{Z}@ForceFilingCode:false","")</f>
        <v/>
      </c>
      <c r="B1100" t="str">
        <f>IF(AND(LEFT('SE.01.01.16'!$D$16,8)&lt;&gt;"Reported",'SE.01.01.16'!$D$16&lt;&gt;""),Show!$B$17&amp; Show!$B$17&amp;"S.01.02.01.01 Rows{Z}@ForceFilingCode:false","")</f>
        <v/>
      </c>
    </row>
    <row r="1101" spans="1:2">
      <c r="A1101" t="str">
        <f>IF(AND(LEFT('SE.01.01.16'!$D$17,8)&lt;&gt;"Reported",'SE.01.01.16'!$D$17&lt;&gt;""),Show!$B$17 &amp; "S.01.03.01.01 Rows{Z}@ForceFilingCode:false","")</f>
        <v/>
      </c>
      <c r="B1101" t="str">
        <f>IF(AND(LEFT('SE.01.01.16'!$D$17,8)&lt;&gt;"Reported",'SE.01.01.16'!$D$17&lt;&gt;""),Show!$B$17&amp; Show!$B$17&amp;"S.01.03.01.01 Rows{Z}@ForceFilingCode:false","")</f>
        <v/>
      </c>
    </row>
    <row r="1102" spans="1:2">
      <c r="A1102" t="str">
        <f>IF(AND(LEFT('SE.01.01.16'!$D$17,8)&lt;&gt;"Reported",'SE.01.01.16'!$D$17&lt;&gt;""),Show!$B$17 &amp; "S.01.03.01.02 Rows{Z}@ForceFilingCode:false","")</f>
        <v/>
      </c>
      <c r="B1102" t="str">
        <f>IF(AND(LEFT('SE.01.01.16'!$D$17,8)&lt;&gt;"Reported",'SE.01.01.16'!$D$17&lt;&gt;""),Show!$B$17&amp; Show!$B$17&amp;"S.01.03.01.02 Rows{Z}@ForceFilingCode:false","")</f>
        <v/>
      </c>
    </row>
    <row r="1103" spans="1:2">
      <c r="A1103" t="str">
        <f>IF(AND(LEFT('SE.01.01.16'!$D$18,8)&lt;&gt;"Reported",'SE.01.01.16'!$D$18&lt;&gt;""),Show!$B$17 &amp; "SE.02.01.16.01 Rows{Z}@ForceFilingCode:false","")</f>
        <v/>
      </c>
      <c r="B1103" t="str">
        <f>IF(AND(LEFT('SE.01.01.16'!$D$18,8)&lt;&gt;"Reported",'SE.01.01.16'!$D$18&lt;&gt;""),Show!$B$17&amp; Show!$B$17&amp;"SE.02.01.16.01 Rows{Z}@ForceFilingCode:false","")</f>
        <v/>
      </c>
    </row>
    <row r="1104" spans="1:2">
      <c r="A1104" t="str">
        <f>IF(AND(LEFT('SE.01.01.16'!$D$19,8)&lt;&gt;"Reported",'SE.01.01.16'!$D$19&lt;&gt;""),Show!$B$17 &amp; "S.02.02.01.01 Rows{Z}@ForceFilingCode:false","")</f>
        <v/>
      </c>
      <c r="B1104" t="str">
        <f>IF(AND(LEFT('SE.01.01.16'!$D$19,8)&lt;&gt;"Reported",'SE.01.01.16'!$D$19&lt;&gt;""),Show!$B$17&amp; Show!$B$17&amp;"S.02.02.01.01 Rows{Z}@ForceFilingCode:false","")</f>
        <v/>
      </c>
    </row>
    <row r="1105" spans="1:2">
      <c r="A1105" t="str">
        <f>IF(AND(LEFT('SE.01.01.16'!$D$19,8)&lt;&gt;"Reported",'SE.01.01.16'!$D$19&lt;&gt;""),Show!$B$17 &amp; "S.02.02.01.02 Rows{Z}@ForceFilingCode:false","")</f>
        <v/>
      </c>
      <c r="B1105" t="str">
        <f>IF(AND(LEFT('SE.01.01.16'!$D$19,8)&lt;&gt;"Reported",'SE.01.01.16'!$D$19&lt;&gt;""),Show!$B$17&amp; Show!$B$17&amp;"S.02.02.01.02 Rows{Z}@ForceFilingCode:false","")</f>
        <v/>
      </c>
    </row>
    <row r="1106" spans="1:2">
      <c r="A1106" t="str">
        <f>IF(AND(LEFT('SE.01.01.16'!$D$20,8)&lt;&gt;"Reported",'SE.01.01.16'!$D$20&lt;&gt;""),Show!$B$17 &amp; "S.03.01.01.01 Rows{Z}@ForceFilingCode:false","")</f>
        <v/>
      </c>
      <c r="B1106" t="str">
        <f>IF(AND(LEFT('SE.01.01.16'!$D$20,8)&lt;&gt;"Reported",'SE.01.01.16'!$D$20&lt;&gt;""),Show!$B$17&amp; Show!$B$17&amp;"S.03.01.01.01 Rows{Z}@ForceFilingCode:false","")</f>
        <v/>
      </c>
    </row>
    <row r="1107" spans="1:2">
      <c r="A1107" t="str">
        <f>IF(AND(LEFT('SE.01.01.16'!$D$20,8)&lt;&gt;"Reported",'SE.01.01.16'!$D$20&lt;&gt;""),Show!$B$17 &amp; "S.03.01.01.02 Rows{Z}@ForceFilingCode:false","")</f>
        <v/>
      </c>
      <c r="B1107" t="str">
        <f>IF(AND(LEFT('SE.01.01.16'!$D$20,8)&lt;&gt;"Reported",'SE.01.01.16'!$D$20&lt;&gt;""),Show!$B$17&amp; Show!$B$17&amp;"S.03.01.01.02 Rows{Z}@ForceFilingCode:false","")</f>
        <v/>
      </c>
    </row>
    <row r="1108" spans="1:2">
      <c r="A1108" t="str">
        <f>IF(AND(LEFT('SE.01.01.16'!$D$21,8)&lt;&gt;"Reported",'SE.01.01.16'!$D$21&lt;&gt;""),Show!$B$17 &amp; "S.03.02.01.01 Rows{Z}@ForceFilingCode:false","")</f>
        <v/>
      </c>
      <c r="B1108" t="str">
        <f>IF(AND(LEFT('SE.01.01.16'!$D$21,8)&lt;&gt;"Reported",'SE.01.01.16'!$D$21&lt;&gt;""),Show!$B$17&amp; Show!$B$17&amp;"S.03.02.01.01 Rows{Z}@ForceFilingCode:false","")</f>
        <v/>
      </c>
    </row>
    <row r="1109" spans="1:2">
      <c r="A1109" t="str">
        <f>IF(AND(LEFT('SE.01.01.16'!$D$22,8)&lt;&gt;"Reported",'SE.01.01.16'!$D$22&lt;&gt;""),Show!$B$17 &amp; "S.03.03.01.01 Rows{Z}@ForceFilingCode:false","")</f>
        <v/>
      </c>
      <c r="B1109" t="str">
        <f>IF(AND(LEFT('SE.01.01.16'!$D$22,8)&lt;&gt;"Reported",'SE.01.01.16'!$D$22&lt;&gt;""),Show!$B$17&amp; Show!$B$17&amp;"S.03.03.01.01 Rows{Z}@ForceFilingCode:false","")</f>
        <v/>
      </c>
    </row>
    <row r="1110" spans="1:2">
      <c r="A1110" t="str">
        <f>IF(AND(LEFT('SE.01.01.16'!$D$23,8)&lt;&gt;"Reported",'SE.01.01.16'!$D$23&lt;&gt;""),Show!$B$17 &amp; "S.04.01.01.01 Rows{Z}@ForceFilingCode:false","")</f>
        <v/>
      </c>
      <c r="B1110" t="str">
        <f>IF(AND(LEFT('SE.01.01.16'!$D$23,8)&lt;&gt;"Reported",'SE.01.01.16'!$D$23&lt;&gt;""),Show!$B$17&amp; Show!$B$17&amp;"S.04.01.01.01 Rows{Z}@ForceFilingCode:false","")</f>
        <v/>
      </c>
    </row>
    <row r="1111" spans="1:2">
      <c r="A1111" t="str">
        <f>IF(AND(LEFT('SE.01.01.16'!$D$23,8)&lt;&gt;"Reported",'SE.01.01.16'!$D$23&lt;&gt;""),Show!$B$17 &amp; "S.04.01.01.02 Rows{Z}@ForceFilingCode:false","")</f>
        <v/>
      </c>
      <c r="B1111" t="str">
        <f>IF(AND(LEFT('SE.01.01.16'!$D$23,8)&lt;&gt;"Reported",'SE.01.01.16'!$D$23&lt;&gt;""),Show!$B$17&amp; Show!$B$17&amp;"S.04.01.01.02 Rows{Z}@ForceFilingCode:false","")</f>
        <v/>
      </c>
    </row>
    <row r="1112" spans="1:2">
      <c r="A1112" t="str">
        <f>IF(AND(LEFT('SE.01.01.16'!$D$23,8)&lt;&gt;"Reported",'SE.01.01.16'!$D$23&lt;&gt;""),Show!$B$17 &amp; "S.04.01.01.03 Rows{Z}@ForceFilingCode:false","")</f>
        <v/>
      </c>
      <c r="B1112" t="str">
        <f>IF(AND(LEFT('SE.01.01.16'!$D$23,8)&lt;&gt;"Reported",'SE.01.01.16'!$D$23&lt;&gt;""),Show!$B$17&amp; Show!$B$17&amp;"S.04.01.01.03 Rows{Z}@ForceFilingCode:false","")</f>
        <v/>
      </c>
    </row>
    <row r="1113" spans="1:2">
      <c r="A1113" t="str">
        <f>IF(AND(LEFT('SE.01.01.16'!$D$23,8)&lt;&gt;"Reported",'SE.01.01.16'!$D$23&lt;&gt;""),Show!$B$17 &amp; "S.04.01.01.04 Rows{Z}@ForceFilingCode:false","")</f>
        <v/>
      </c>
      <c r="B1113" t="str">
        <f>IF(AND(LEFT('SE.01.01.16'!$D$23,8)&lt;&gt;"Reported",'SE.01.01.16'!$D$23&lt;&gt;""),Show!$B$17&amp; Show!$B$17&amp;"S.04.01.01.04 Rows{Z}@ForceFilingCode:false","")</f>
        <v/>
      </c>
    </row>
    <row r="1114" spans="1:2">
      <c r="A1114" t="str">
        <f>IF(AND(LEFT('SE.01.01.16'!$D$24,8)&lt;&gt;"Reported",'SE.01.01.16'!$D$24&lt;&gt;""),Show!$B$17 &amp; "S.04.02.01.01 Rows{Z}@ForceFilingCode:false","")</f>
        <v/>
      </c>
      <c r="B1114" t="str">
        <f>IF(AND(LEFT('SE.01.01.16'!$D$24,8)&lt;&gt;"Reported",'SE.01.01.16'!$D$24&lt;&gt;""),Show!$B$17&amp; Show!$B$17&amp;"S.04.02.01.01 Rows{Z}@ForceFilingCode:false","")</f>
        <v/>
      </c>
    </row>
    <row r="1115" spans="1:2">
      <c r="A1115" t="str">
        <f>IF(AND(LEFT('SE.01.01.16'!$D$24,8)&lt;&gt;"Reported",'SE.01.01.16'!$D$24&lt;&gt;""),Show!$B$17 &amp; "S.04.02.01.02 Rows{Z}@ForceFilingCode:false","")</f>
        <v/>
      </c>
      <c r="B1115" t="str">
        <f>IF(AND(LEFT('SE.01.01.16'!$D$24,8)&lt;&gt;"Reported",'SE.01.01.16'!$D$24&lt;&gt;""),Show!$B$17&amp; Show!$B$17&amp;"S.04.02.01.02 Rows{Z}@ForceFilingCode:false","")</f>
        <v/>
      </c>
    </row>
    <row r="1116" spans="1:2">
      <c r="A1116" t="str">
        <f>IF(AND(LEFT('SE.01.01.16'!$D$25,8)&lt;&gt;"Reported",'SE.01.01.16'!$D$25&lt;&gt;""),Show!$B$17 &amp; "S.05.01.01.01 Rows{Z}@ForceFilingCode:false","")</f>
        <v/>
      </c>
      <c r="B1116" t="str">
        <f>IF(AND(LEFT('SE.01.01.16'!$D$25,8)&lt;&gt;"Reported",'SE.01.01.16'!$D$25&lt;&gt;""),Show!$B$17&amp; Show!$B$17&amp;"S.05.01.01.01 Rows{Z}@ForceFilingCode:false","")</f>
        <v/>
      </c>
    </row>
    <row r="1117" spans="1:2">
      <c r="A1117" t="str">
        <f>IF(AND(LEFT('SE.01.01.16'!$D$25,8)&lt;&gt;"Reported",'SE.01.01.16'!$D$25&lt;&gt;""),Show!$B$17 &amp; "S.05.01.01.02 Rows{Z}@ForceFilingCode:false","")</f>
        <v/>
      </c>
      <c r="B1117" t="str">
        <f>IF(AND(LEFT('SE.01.01.16'!$D$25,8)&lt;&gt;"Reported",'SE.01.01.16'!$D$25&lt;&gt;""),Show!$B$17&amp; Show!$B$17&amp;"S.05.01.01.02 Rows{Z}@ForceFilingCode:false","")</f>
        <v/>
      </c>
    </row>
    <row r="1118" spans="1:2">
      <c r="A1118" t="str">
        <f>IF(AND(LEFT('SE.01.01.16'!$D$26,8)&lt;&gt;"Reported",'SE.01.01.16'!$D$26&lt;&gt;""),Show!$B$17 &amp; "S.05.02.01.01 Rows{Z}@ForceFilingCode:false","")</f>
        <v/>
      </c>
      <c r="B1118" t="str">
        <f>IF(AND(LEFT('SE.01.01.16'!$D$26,8)&lt;&gt;"Reported",'SE.01.01.16'!$D$26&lt;&gt;""),Show!$B$17&amp; Show!$B$17&amp;"S.05.02.01.01 Rows{Z}@ForceFilingCode:false","")</f>
        <v/>
      </c>
    </row>
    <row r="1119" spans="1:2">
      <c r="A1119" t="str">
        <f>IF(AND(LEFT('SE.01.01.16'!$D$26,8)&lt;&gt;"Reported",'SE.01.01.16'!$D$26&lt;&gt;""),Show!$B$17 &amp; "S.05.02.01.02 Rows{Z}@ForceFilingCode:false","")</f>
        <v/>
      </c>
      <c r="B1119" t="str">
        <f>IF(AND(LEFT('SE.01.01.16'!$D$26,8)&lt;&gt;"Reported",'SE.01.01.16'!$D$26&lt;&gt;""),Show!$B$17&amp; Show!$B$17&amp;"S.05.02.01.02 Rows{Z}@ForceFilingCode:false","")</f>
        <v/>
      </c>
    </row>
    <row r="1120" spans="1:2">
      <c r="A1120" t="str">
        <f>IF(AND(LEFT('SE.01.01.16'!$D$26,8)&lt;&gt;"Reported",'SE.01.01.16'!$D$26&lt;&gt;""),Show!$B$17 &amp; "S.05.02.01.03 Rows{Z}@ForceFilingCode:false","")</f>
        <v/>
      </c>
      <c r="B1120" t="str">
        <f>IF(AND(LEFT('SE.01.01.16'!$D$26,8)&lt;&gt;"Reported",'SE.01.01.16'!$D$26&lt;&gt;""),Show!$B$17&amp; Show!$B$17&amp;"S.05.02.01.03 Rows{Z}@ForceFilingCode:false","")</f>
        <v/>
      </c>
    </row>
    <row r="1121" spans="1:2">
      <c r="A1121" t="str">
        <f>IF(AND(LEFT('SE.01.01.16'!$D$26,8)&lt;&gt;"Reported",'SE.01.01.16'!$D$26&lt;&gt;""),Show!$B$17 &amp; "S.05.02.01.04 Rows{Z}@ForceFilingCode:false","")</f>
        <v/>
      </c>
      <c r="B1121" t="str">
        <f>IF(AND(LEFT('SE.01.01.16'!$D$26,8)&lt;&gt;"Reported",'SE.01.01.16'!$D$26&lt;&gt;""),Show!$B$17&amp; Show!$B$17&amp;"S.05.02.01.04 Rows{Z}@ForceFilingCode:false","")</f>
        <v/>
      </c>
    </row>
    <row r="1122" spans="1:2">
      <c r="A1122" t="str">
        <f>IF(AND(LEFT('SE.01.01.16'!$D$26,8)&lt;&gt;"Reported",'SE.01.01.16'!$D$26&lt;&gt;""),Show!$B$17 &amp; "S.05.02.01.05 Rows{Z}@ForceFilingCode:false","")</f>
        <v/>
      </c>
      <c r="B1122" t="str">
        <f>IF(AND(LEFT('SE.01.01.16'!$D$26,8)&lt;&gt;"Reported",'SE.01.01.16'!$D$26&lt;&gt;""),Show!$B$17&amp; Show!$B$17&amp;"S.05.02.01.05 Rows{Z}@ForceFilingCode:false","")</f>
        <v/>
      </c>
    </row>
    <row r="1123" spans="1:2">
      <c r="A1123" t="str">
        <f>IF(AND(LEFT('SE.01.01.16'!$D$26,8)&lt;&gt;"Reported",'SE.01.01.16'!$D$26&lt;&gt;""),Show!$B$17 &amp; "S.05.02.01.06 Rows{Z}@ForceFilingCode:false","")</f>
        <v/>
      </c>
      <c r="B1123" t="str">
        <f>IF(AND(LEFT('SE.01.01.16'!$D$26,8)&lt;&gt;"Reported",'SE.01.01.16'!$D$26&lt;&gt;""),Show!$B$17&amp; Show!$B$17&amp;"S.05.02.01.06 Rows{Z}@ForceFilingCode:false","")</f>
        <v/>
      </c>
    </row>
    <row r="1124" spans="1:2">
      <c r="A1124" t="str">
        <f>IF(AND(LEFT('SE.01.01.16'!$D$27,8)&lt;&gt;"Reported",'SE.01.01.16'!$D$27&lt;&gt;""),Show!$B$17 &amp; "S.06.01.01.01 Rows{Z}@ForceFilingCode:false","")</f>
        <v/>
      </c>
      <c r="B1124" t="str">
        <f>IF(AND(LEFT('SE.01.01.16'!$D$27,8)&lt;&gt;"Reported",'SE.01.01.16'!$D$27&lt;&gt;""),Show!$B$17&amp; Show!$B$17&amp;"S.06.01.01.01 Rows{Z}@ForceFilingCode:false","")</f>
        <v/>
      </c>
    </row>
    <row r="1125" spans="1:2">
      <c r="A1125" t="str">
        <f>IF(AND(LEFT('SE.01.01.16'!$D$28,8)&lt;&gt;"Reported",'SE.01.01.16'!$D$28&lt;&gt;""),Show!$B$17 &amp; "SE.06.02.16.01 Rows{Z}@ForceFilingCode:false","")</f>
        <v/>
      </c>
      <c r="B1125" t="str">
        <f>IF(AND(LEFT('SE.01.01.16'!$D$28,8)&lt;&gt;"Reported",'SE.01.01.16'!$D$28&lt;&gt;""),Show!$B$17&amp; Show!$B$17&amp;"SE.06.02.16.01 Rows{Z}@ForceFilingCode:false","")</f>
        <v/>
      </c>
    </row>
    <row r="1126" spans="1:2">
      <c r="A1126" t="str">
        <f>IF(AND(LEFT('SE.01.01.16'!$D$28,8)&lt;&gt;"Reported",'SE.01.01.16'!$D$28&lt;&gt;""),Show!$B$17 &amp; "SE.06.02.16.02 Rows{Z}@ForceFilingCode:false","")</f>
        <v/>
      </c>
      <c r="B1126" t="str">
        <f>IF(AND(LEFT('SE.01.01.16'!$D$28,8)&lt;&gt;"Reported",'SE.01.01.16'!$D$28&lt;&gt;""),Show!$B$17&amp; Show!$B$17&amp;"SE.06.02.16.02 Rows{Z}@ForceFilingCode:false","")</f>
        <v/>
      </c>
    </row>
    <row r="1127" spans="1:2">
      <c r="A1127" t="str">
        <f>IF(AND(LEFT('SE.01.01.16'!$D$29,8)&lt;&gt;"Reported",'SE.01.01.16'!$D$29&lt;&gt;""),Show!$B$17 &amp; "S.06.03.01.01 Rows{Z}@ForceFilingCode:false","")</f>
        <v/>
      </c>
      <c r="B1127" t="str">
        <f>IF(AND(LEFT('SE.01.01.16'!$D$29,8)&lt;&gt;"Reported",'SE.01.01.16'!$D$29&lt;&gt;""),Show!$B$17&amp; Show!$B$17&amp;"S.06.03.01.01 Rows{Z}@ForceFilingCode:false","")</f>
        <v/>
      </c>
    </row>
    <row r="1128" spans="1:2">
      <c r="A1128" t="str">
        <f>IF(AND(LEFT('SE.01.01.16'!$D$30,8)&lt;&gt;"Reported",'SE.01.01.16'!$D$30&lt;&gt;""),Show!$B$17 &amp; "S.07.01.01.01 Rows{Z}@ForceFilingCode:false","")</f>
        <v/>
      </c>
      <c r="B1128" t="str">
        <f>IF(AND(LEFT('SE.01.01.16'!$D$30,8)&lt;&gt;"Reported",'SE.01.01.16'!$D$30&lt;&gt;""),Show!$B$17&amp; Show!$B$17&amp;"S.07.01.01.01 Rows{Z}@ForceFilingCode:false","")</f>
        <v/>
      </c>
    </row>
    <row r="1129" spans="1:2">
      <c r="A1129" t="str">
        <f>IF(AND(LEFT('SE.01.01.16'!$D$31,8)&lt;&gt;"Reported",'SE.01.01.16'!$D$31&lt;&gt;""),Show!$B$17 &amp; "S.08.01.01.01 Rows{Z}@ForceFilingCode:false","")</f>
        <v/>
      </c>
      <c r="B1129" t="str">
        <f>IF(AND(LEFT('SE.01.01.16'!$D$31,8)&lt;&gt;"Reported",'SE.01.01.16'!$D$31&lt;&gt;""),Show!$B$17&amp; Show!$B$17&amp;"S.08.01.01.01 Rows{Z}@ForceFilingCode:false","")</f>
        <v/>
      </c>
    </row>
    <row r="1130" spans="1:2">
      <c r="A1130" t="str">
        <f>IF(AND(LEFT('SE.01.01.16'!$D$31,8)&lt;&gt;"Reported",'SE.01.01.16'!$D$31&lt;&gt;""),Show!$B$17 &amp; "S.08.01.01.02 Rows{Z}@ForceFilingCode:false","")</f>
        <v/>
      </c>
      <c r="B1130" t="str">
        <f>IF(AND(LEFT('SE.01.01.16'!$D$31,8)&lt;&gt;"Reported",'SE.01.01.16'!$D$31&lt;&gt;""),Show!$B$17&amp; Show!$B$17&amp;"S.08.01.01.02 Rows{Z}@ForceFilingCode:false","")</f>
        <v/>
      </c>
    </row>
    <row r="1131" spans="1:2">
      <c r="A1131" t="str">
        <f>IF(AND(LEFT('SE.01.01.16'!$D$32,8)&lt;&gt;"Reported",'SE.01.01.16'!$D$32&lt;&gt;""),Show!$B$17 &amp; "S.08.02.01.01 Rows{Z}@ForceFilingCode:false","")</f>
        <v/>
      </c>
      <c r="B1131" t="str">
        <f>IF(AND(LEFT('SE.01.01.16'!$D$32,8)&lt;&gt;"Reported",'SE.01.01.16'!$D$32&lt;&gt;""),Show!$B$17&amp; Show!$B$17&amp;"S.08.02.01.01 Rows{Z}@ForceFilingCode:false","")</f>
        <v/>
      </c>
    </row>
    <row r="1132" spans="1:2">
      <c r="A1132" t="str">
        <f>IF(AND(LEFT('SE.01.01.16'!$D$32,8)&lt;&gt;"Reported",'SE.01.01.16'!$D$32&lt;&gt;""),Show!$B$17 &amp; "S.08.02.01.02 Rows{Z}@ForceFilingCode:false","")</f>
        <v/>
      </c>
      <c r="B1132" t="str">
        <f>IF(AND(LEFT('SE.01.01.16'!$D$32,8)&lt;&gt;"Reported",'SE.01.01.16'!$D$32&lt;&gt;""),Show!$B$17&amp; Show!$B$17&amp;"S.08.02.01.02 Rows{Z}@ForceFilingCode:false","")</f>
        <v/>
      </c>
    </row>
    <row r="1133" spans="1:2">
      <c r="A1133" t="str">
        <f>IF(AND(LEFT('SE.01.01.16'!$D$33,8)&lt;&gt;"Reported",'SE.01.01.16'!$D$33&lt;&gt;""),Show!$B$17 &amp; "S.09.01.01.01 Rows{Z}@ForceFilingCode:false","")</f>
        <v/>
      </c>
      <c r="B1133" t="str">
        <f>IF(AND(LEFT('SE.01.01.16'!$D$33,8)&lt;&gt;"Reported",'SE.01.01.16'!$D$33&lt;&gt;""),Show!$B$17&amp; Show!$B$17&amp;"S.09.01.01.01 Rows{Z}@ForceFilingCode:false","")</f>
        <v/>
      </c>
    </row>
    <row r="1134" spans="1:2">
      <c r="A1134" t="str">
        <f>IF(AND(LEFT('SE.01.01.16'!$D$34,8)&lt;&gt;"Reported",'SE.01.01.16'!$D$34&lt;&gt;""),Show!$B$17 &amp; "S.10.01.01.01 Rows{Z}@ForceFilingCode:false","")</f>
        <v/>
      </c>
      <c r="B1134" t="str">
        <f>IF(AND(LEFT('SE.01.01.16'!$D$34,8)&lt;&gt;"Reported",'SE.01.01.16'!$D$34&lt;&gt;""),Show!$B$17&amp; Show!$B$17&amp;"S.10.01.01.01 Rows{Z}@ForceFilingCode:false","")</f>
        <v/>
      </c>
    </row>
    <row r="1135" spans="1:2">
      <c r="A1135" t="str">
        <f>IF(AND(LEFT('SE.01.01.16'!$D$35,8)&lt;&gt;"Reported",'SE.01.01.16'!$D$35&lt;&gt;""),Show!$B$17 &amp; "S.11.01.01.01 Rows{Z}@ForceFilingCode:false","")</f>
        <v/>
      </c>
      <c r="B1135" t="str">
        <f>IF(AND(LEFT('SE.01.01.16'!$D$35,8)&lt;&gt;"Reported",'SE.01.01.16'!$D$35&lt;&gt;""),Show!$B$17&amp; Show!$B$17&amp;"S.11.01.01.01 Rows{Z}@ForceFilingCode:false","")</f>
        <v/>
      </c>
    </row>
    <row r="1136" spans="1:2">
      <c r="A1136" t="str">
        <f>IF(AND(LEFT('SE.01.01.16'!$D$35,8)&lt;&gt;"Reported",'SE.01.01.16'!$D$35&lt;&gt;""),Show!$B$17 &amp; "S.11.01.01.02 Rows{Z}@ForceFilingCode:false","")</f>
        <v/>
      </c>
      <c r="B1136" t="str">
        <f>IF(AND(LEFT('SE.01.01.16'!$D$35,8)&lt;&gt;"Reported",'SE.01.01.16'!$D$35&lt;&gt;""),Show!$B$17&amp; Show!$B$17&amp;"S.11.01.01.02 Rows{Z}@ForceFilingCode:false","")</f>
        <v/>
      </c>
    </row>
    <row r="1137" spans="1:2">
      <c r="A1137" t="str">
        <f>IF(AND(LEFT('SE.01.01.16'!$D$36,8)&lt;&gt;"Reported",'SE.01.01.16'!$D$36&lt;&gt;""),Show!$B$17 &amp; "S.12.01.01.01 Rows{Z}@ForceFilingCode:false","")</f>
        <v/>
      </c>
      <c r="B1137" t="str">
        <f>IF(AND(LEFT('SE.01.01.16'!$D$36,8)&lt;&gt;"Reported",'SE.01.01.16'!$D$36&lt;&gt;""),Show!$B$17&amp; Show!$B$17&amp;"S.12.01.01.01 Rows{Z}@ForceFilingCode:false","")</f>
        <v/>
      </c>
    </row>
    <row r="1138" spans="1:2">
      <c r="A1138" t="str">
        <f>IF(AND(LEFT('SE.01.01.16'!$D$37,8)&lt;&gt;"Reported",'SE.01.01.16'!$D$37&lt;&gt;""),Show!$B$17 &amp; "S.12.02.01.01 Rows{Z}@ForceFilingCode:false","")</f>
        <v/>
      </c>
      <c r="B1138" t="str">
        <f>IF(AND(LEFT('SE.01.01.16'!$D$37,8)&lt;&gt;"Reported",'SE.01.01.16'!$D$37&lt;&gt;""),Show!$B$17&amp; Show!$B$17&amp;"S.12.02.01.01 Rows{Z}@ForceFilingCode:false","")</f>
        <v/>
      </c>
    </row>
    <row r="1139" spans="1:2">
      <c r="A1139" t="str">
        <f>IF(AND(LEFT('SE.01.01.16'!$D$37,8)&lt;&gt;"Reported",'SE.01.01.16'!$D$37&lt;&gt;""),Show!$B$17 &amp; "S.12.02.01.02 Rows{Z}@ForceFilingCode:false","")</f>
        <v/>
      </c>
      <c r="B1139" t="str">
        <f>IF(AND(LEFT('SE.01.01.16'!$D$37,8)&lt;&gt;"Reported",'SE.01.01.16'!$D$37&lt;&gt;""),Show!$B$17&amp; Show!$B$17&amp;"S.12.02.01.02 Rows{Z}@ForceFilingCode:false","")</f>
        <v/>
      </c>
    </row>
    <row r="1140" spans="1:2">
      <c r="A1140" t="str">
        <f>IF(AND(LEFT('SE.01.01.16'!$D$38,8)&lt;&gt;"Reported",'SE.01.01.16'!$D$38&lt;&gt;""),Show!$B$17 &amp; "S.13.01.01.01 Rows{Z}@ForceFilingCode:false","")</f>
        <v/>
      </c>
      <c r="B1140" t="str">
        <f>IF(AND(LEFT('SE.01.01.16'!$D$38,8)&lt;&gt;"Reported",'SE.01.01.16'!$D$38&lt;&gt;""),Show!$B$17&amp; Show!$B$17&amp;"S.13.01.01.01 Rows{Z}@ForceFilingCode:false","")</f>
        <v/>
      </c>
    </row>
    <row r="1141" spans="1:2">
      <c r="A1141" t="str">
        <f>IF(AND(LEFT('SE.01.01.16'!$D$39,8)&lt;&gt;"Reported",'SE.01.01.16'!$D$39&lt;&gt;""),Show!$B$17 &amp; "S.14.01.01.01 Rows{Z}@ForceFilingCode:false","")</f>
        <v/>
      </c>
      <c r="B1141" t="str">
        <f>IF(AND(LEFT('SE.01.01.16'!$D$39,8)&lt;&gt;"Reported",'SE.01.01.16'!$D$39&lt;&gt;""),Show!$B$17&amp; Show!$B$17&amp;"S.14.01.01.01 Rows{Z}@ForceFilingCode:false","")</f>
        <v/>
      </c>
    </row>
    <row r="1142" spans="1:2">
      <c r="A1142" t="str">
        <f>IF(AND(LEFT('SE.01.01.16'!$D$39,8)&lt;&gt;"Reported",'SE.01.01.16'!$D$39&lt;&gt;""),Show!$B$17 &amp; "S.14.01.01.02 Rows{Z}@ForceFilingCode:false","")</f>
        <v/>
      </c>
      <c r="B1142" t="str">
        <f>IF(AND(LEFT('SE.01.01.16'!$D$39,8)&lt;&gt;"Reported",'SE.01.01.16'!$D$39&lt;&gt;""),Show!$B$17&amp; Show!$B$17&amp;"S.14.01.01.02 Rows{Z}@ForceFilingCode:false","")</f>
        <v/>
      </c>
    </row>
    <row r="1143" spans="1:2">
      <c r="A1143" t="str">
        <f>IF(AND(LEFT('SE.01.01.16'!$D$39,8)&lt;&gt;"Reported",'SE.01.01.16'!$D$39&lt;&gt;""),Show!$B$17 &amp; "S.14.01.01.03 Rows{Z}@ForceFilingCode:false","")</f>
        <v/>
      </c>
      <c r="B1143" t="str">
        <f>IF(AND(LEFT('SE.01.01.16'!$D$39,8)&lt;&gt;"Reported",'SE.01.01.16'!$D$39&lt;&gt;""),Show!$B$17&amp; Show!$B$17&amp;"S.14.01.01.03 Rows{Z}@ForceFilingCode:false","")</f>
        <v/>
      </c>
    </row>
    <row r="1144" spans="1:2">
      <c r="A1144" t="str">
        <f>IF(AND(LEFT('SE.01.01.16'!$D$39,8)&lt;&gt;"Reported",'SE.01.01.16'!$D$39&lt;&gt;""),Show!$B$17 &amp; "S.14.01.01.04 Rows{Z}@ForceFilingCode:false","")</f>
        <v/>
      </c>
      <c r="B1144" t="str">
        <f>IF(AND(LEFT('SE.01.01.16'!$D$39,8)&lt;&gt;"Reported",'SE.01.01.16'!$D$39&lt;&gt;""),Show!$B$17&amp; Show!$B$17&amp;"S.14.01.01.04 Rows{Z}@ForceFilingCode:false","")</f>
        <v/>
      </c>
    </row>
    <row r="1145" spans="1:2">
      <c r="A1145" t="str">
        <f>IF(AND(LEFT('SE.01.01.16'!$D$40,8)&lt;&gt;"Reported",'SE.01.01.16'!$D$40&lt;&gt;""),Show!$B$17 &amp; "S.15.01.01.01 Rows{Z}@ForceFilingCode:false","")</f>
        <v/>
      </c>
      <c r="B1145" t="str">
        <f>IF(AND(LEFT('SE.01.01.16'!$D$40,8)&lt;&gt;"Reported",'SE.01.01.16'!$D$40&lt;&gt;""),Show!$B$17&amp; Show!$B$17&amp;"S.15.01.01.01 Rows{Z}@ForceFilingCode:false","")</f>
        <v/>
      </c>
    </row>
    <row r="1146" spans="1:2">
      <c r="A1146" t="str">
        <f>IF(AND(LEFT('SE.01.01.16'!$D$41,8)&lt;&gt;"Reported",'SE.01.01.16'!$D$41&lt;&gt;""),Show!$B$17 &amp; "S.15.02.01.01 Rows{Z}@ForceFilingCode:false","")</f>
        <v/>
      </c>
      <c r="B1146" t="str">
        <f>IF(AND(LEFT('SE.01.01.16'!$D$41,8)&lt;&gt;"Reported",'SE.01.01.16'!$D$41&lt;&gt;""),Show!$B$17&amp; Show!$B$17&amp;"S.15.02.01.01 Rows{Z}@ForceFilingCode:false","")</f>
        <v/>
      </c>
    </row>
    <row r="1147" spans="1:2">
      <c r="A1147" t="str">
        <f>IF(AND(LEFT('SE.01.01.16'!$D$42,8)&lt;&gt;"Reported",'SE.01.01.16'!$D$42&lt;&gt;""),Show!$B$17 &amp; "S.16.01.01.01 Rows{Z}@ForceFilingCode:false","")</f>
        <v/>
      </c>
      <c r="B1147" t="str">
        <f>IF(AND(LEFT('SE.01.01.16'!$D$42,8)&lt;&gt;"Reported",'SE.01.01.16'!$D$42&lt;&gt;""),Show!$B$17&amp; Show!$B$17&amp;"S.16.01.01.01 Rows{Z}@ForceFilingCode:false","")</f>
        <v/>
      </c>
    </row>
    <row r="1148" spans="1:2">
      <c r="A1148" t="str">
        <f>IF(AND(LEFT('SE.01.01.16'!$D$42,8)&lt;&gt;"Reported",'SE.01.01.16'!$D$42&lt;&gt;""),Show!$B$17 &amp; "S.16.01.01.02 Rows{Z}@ForceFilingCode:false","")</f>
        <v/>
      </c>
      <c r="B1148" t="str">
        <f>IF(AND(LEFT('SE.01.01.16'!$D$42,8)&lt;&gt;"Reported",'SE.01.01.16'!$D$42&lt;&gt;""),Show!$B$17&amp; Show!$B$17&amp;"S.16.01.01.02 Rows{Z}@ForceFilingCode:false","")</f>
        <v/>
      </c>
    </row>
    <row r="1149" spans="1:2">
      <c r="A1149" t="str">
        <f>IF(AND(LEFT('SE.01.01.16'!$D$43,8)&lt;&gt;"Reported",'SE.01.01.16'!$D$43&lt;&gt;""),Show!$B$17 &amp; "S.17.01.01.01 Rows{Z}@ForceFilingCode:false","")</f>
        <v/>
      </c>
      <c r="B1149" t="str">
        <f>IF(AND(LEFT('SE.01.01.16'!$D$43,8)&lt;&gt;"Reported",'SE.01.01.16'!$D$43&lt;&gt;""),Show!$B$17&amp; Show!$B$17&amp;"S.17.01.01.01 Rows{Z}@ForceFilingCode:false","")</f>
        <v/>
      </c>
    </row>
    <row r="1150" spans="1:2">
      <c r="A1150" t="str">
        <f>IF(AND(LEFT('SE.01.01.16'!$D$44,8)&lt;&gt;"Reported",'SE.01.01.16'!$D$44&lt;&gt;""),Show!$B$17 &amp; "S.17.02.01.01 Rows{Z}@ForceFilingCode:false","")</f>
        <v/>
      </c>
      <c r="B1150" t="str">
        <f>IF(AND(LEFT('SE.01.01.16'!$D$44,8)&lt;&gt;"Reported",'SE.01.01.16'!$D$44&lt;&gt;""),Show!$B$17&amp; Show!$B$17&amp;"S.17.02.01.01 Rows{Z}@ForceFilingCode:false","")</f>
        <v/>
      </c>
    </row>
    <row r="1151" spans="1:2">
      <c r="A1151" t="str">
        <f>IF(AND(LEFT('SE.01.01.16'!$D$44,8)&lt;&gt;"Reported",'SE.01.01.16'!$D$44&lt;&gt;""),Show!$B$17 &amp; "S.17.02.01.02 Rows{Z}@ForceFilingCode:false","")</f>
        <v/>
      </c>
      <c r="B1151" t="str">
        <f>IF(AND(LEFT('SE.01.01.16'!$D$44,8)&lt;&gt;"Reported",'SE.01.01.16'!$D$44&lt;&gt;""),Show!$B$17&amp; Show!$B$17&amp;"S.17.02.01.02 Rows{Z}@ForceFilingCode:false","")</f>
        <v/>
      </c>
    </row>
    <row r="1152" spans="1:2">
      <c r="A1152" t="str">
        <f>IF(AND(LEFT('SE.01.01.16'!$D$45,8)&lt;&gt;"Reported",'SE.01.01.16'!$D$45&lt;&gt;""),Show!$B$17 &amp; "S.18.01.01.01 Rows{Z}@ForceFilingCode:false","")</f>
        <v/>
      </c>
      <c r="B1152" t="str">
        <f>IF(AND(LEFT('SE.01.01.16'!$D$45,8)&lt;&gt;"Reported",'SE.01.01.16'!$D$45&lt;&gt;""),Show!$B$17&amp; Show!$B$17&amp;"S.18.01.01.01 Rows{Z}@ForceFilingCode:false","")</f>
        <v/>
      </c>
    </row>
    <row r="1153" spans="1:2">
      <c r="A1153" t="str">
        <f>IF(AND(LEFT('SE.01.01.16'!$D$46,8)&lt;&gt;"Reported",'SE.01.01.16'!$D$46&lt;&gt;""),Show!$B$17 &amp; "S.19.01.01.01 Rows{Z}@ForceFilingCode:false","")</f>
        <v/>
      </c>
      <c r="B1153" t="str">
        <f>IF(AND(LEFT('SE.01.01.16'!$D$46,8)&lt;&gt;"Reported",'SE.01.01.16'!$D$46&lt;&gt;""),Show!$B$17&amp; Show!$B$17&amp;"S.19.01.01.01 Rows{Z}@ForceFilingCode:false","")</f>
        <v/>
      </c>
    </row>
    <row r="1154" spans="1:2">
      <c r="A1154" t="str">
        <f>IF(AND(LEFT('SE.01.01.16'!$D$46,8)&lt;&gt;"Reported",'SE.01.01.16'!$D$46&lt;&gt;""),Show!$B$17 &amp; "S.19.01.01.02 Rows{Z}@ForceFilingCode:false","")</f>
        <v/>
      </c>
      <c r="B1154" t="str">
        <f>IF(AND(LEFT('SE.01.01.16'!$D$46,8)&lt;&gt;"Reported",'SE.01.01.16'!$D$46&lt;&gt;""),Show!$B$17&amp; Show!$B$17&amp;"S.19.01.01.02 Rows{Z}@ForceFilingCode:false","")</f>
        <v/>
      </c>
    </row>
    <row r="1155" spans="1:2">
      <c r="A1155" t="str">
        <f>IF(AND(LEFT('SE.01.01.16'!$D$46,8)&lt;&gt;"Reported",'SE.01.01.16'!$D$46&lt;&gt;""),Show!$B$17 &amp; "S.19.01.01.03 Rows{Z}@ForceFilingCode:false","")</f>
        <v/>
      </c>
      <c r="B1155" t="str">
        <f>IF(AND(LEFT('SE.01.01.16'!$D$46,8)&lt;&gt;"Reported",'SE.01.01.16'!$D$46&lt;&gt;""),Show!$B$17&amp; Show!$B$17&amp;"S.19.01.01.03 Rows{Z}@ForceFilingCode:false","")</f>
        <v/>
      </c>
    </row>
    <row r="1156" spans="1:2">
      <c r="A1156" t="str">
        <f>IF(AND(LEFT('SE.01.01.16'!$D$46,8)&lt;&gt;"Reported",'SE.01.01.16'!$D$46&lt;&gt;""),Show!$B$17 &amp; "S.19.01.01.04 Rows{Z}@ForceFilingCode:false","")</f>
        <v/>
      </c>
      <c r="B1156" t="str">
        <f>IF(AND(LEFT('SE.01.01.16'!$D$46,8)&lt;&gt;"Reported",'SE.01.01.16'!$D$46&lt;&gt;""),Show!$B$17&amp; Show!$B$17&amp;"S.19.01.01.04 Rows{Z}@ForceFilingCode:false","")</f>
        <v/>
      </c>
    </row>
    <row r="1157" spans="1:2">
      <c r="A1157" t="str">
        <f>IF(AND(LEFT('SE.01.01.16'!$D$46,8)&lt;&gt;"Reported",'SE.01.01.16'!$D$46&lt;&gt;""),Show!$B$17 &amp; "S.19.01.01.05 Rows{Z}@ForceFilingCode:false","")</f>
        <v/>
      </c>
      <c r="B1157" t="str">
        <f>IF(AND(LEFT('SE.01.01.16'!$D$46,8)&lt;&gt;"Reported",'SE.01.01.16'!$D$46&lt;&gt;""),Show!$B$17&amp; Show!$B$17&amp;"S.19.01.01.05 Rows{Z}@ForceFilingCode:false","")</f>
        <v/>
      </c>
    </row>
    <row r="1158" spans="1:2">
      <c r="A1158" t="str">
        <f>IF(AND(LEFT('SE.01.01.16'!$D$46,8)&lt;&gt;"Reported",'SE.01.01.16'!$D$46&lt;&gt;""),Show!$B$17 &amp; "S.19.01.01.06 Rows{Z}@ForceFilingCode:false","")</f>
        <v/>
      </c>
      <c r="B1158" t="str">
        <f>IF(AND(LEFT('SE.01.01.16'!$D$46,8)&lt;&gt;"Reported",'SE.01.01.16'!$D$46&lt;&gt;""),Show!$B$17&amp; Show!$B$17&amp;"S.19.01.01.06 Rows{Z}@ForceFilingCode:false","")</f>
        <v/>
      </c>
    </row>
    <row r="1159" spans="1:2">
      <c r="A1159" t="str">
        <f>IF(AND(LEFT('SE.01.01.16'!$D$46,8)&lt;&gt;"Reported",'SE.01.01.16'!$D$46&lt;&gt;""),Show!$B$17 &amp; "S.19.01.01.07 Rows{Z}@ForceFilingCode:false","")</f>
        <v/>
      </c>
      <c r="B1159" t="str">
        <f>IF(AND(LEFT('SE.01.01.16'!$D$46,8)&lt;&gt;"Reported",'SE.01.01.16'!$D$46&lt;&gt;""),Show!$B$17&amp; Show!$B$17&amp;"S.19.01.01.07 Rows{Z}@ForceFilingCode:false","")</f>
        <v/>
      </c>
    </row>
    <row r="1160" spans="1:2">
      <c r="A1160" t="str">
        <f>IF(AND(LEFT('SE.01.01.16'!$D$46,8)&lt;&gt;"Reported",'SE.01.01.16'!$D$46&lt;&gt;""),Show!$B$17 &amp; "S.19.01.01.08 Rows{Z}@ForceFilingCode:false","")</f>
        <v/>
      </c>
      <c r="B1160" t="str">
        <f>IF(AND(LEFT('SE.01.01.16'!$D$46,8)&lt;&gt;"Reported",'SE.01.01.16'!$D$46&lt;&gt;""),Show!$B$17&amp; Show!$B$17&amp;"S.19.01.01.08 Rows{Z}@ForceFilingCode:false","")</f>
        <v/>
      </c>
    </row>
    <row r="1161" spans="1:2">
      <c r="A1161" t="str">
        <f>IF(AND(LEFT('SE.01.01.16'!$D$46,8)&lt;&gt;"Reported",'SE.01.01.16'!$D$46&lt;&gt;""),Show!$B$17 &amp; "S.19.01.01.09 Rows{Z}@ForceFilingCode:false","")</f>
        <v/>
      </c>
      <c r="B1161" t="str">
        <f>IF(AND(LEFT('SE.01.01.16'!$D$46,8)&lt;&gt;"Reported",'SE.01.01.16'!$D$46&lt;&gt;""),Show!$B$17&amp; Show!$B$17&amp;"S.19.01.01.09 Rows{Z}@ForceFilingCode:false","")</f>
        <v/>
      </c>
    </row>
    <row r="1162" spans="1:2">
      <c r="A1162" t="str">
        <f>IF(AND(LEFT('SE.01.01.16'!$D$46,8)&lt;&gt;"Reported",'SE.01.01.16'!$D$46&lt;&gt;""),Show!$B$17 &amp; "S.19.01.01.10 Rows{Z}@ForceFilingCode:false","")</f>
        <v/>
      </c>
      <c r="B1162" t="str">
        <f>IF(AND(LEFT('SE.01.01.16'!$D$46,8)&lt;&gt;"Reported",'SE.01.01.16'!$D$46&lt;&gt;""),Show!$B$17&amp; Show!$B$17&amp;"S.19.01.01.10 Rows{Z}@ForceFilingCode:false","")</f>
        <v/>
      </c>
    </row>
    <row r="1163" spans="1:2">
      <c r="A1163" t="str">
        <f>IF(AND(LEFT('SE.01.01.16'!$D$46,8)&lt;&gt;"Reported",'SE.01.01.16'!$D$46&lt;&gt;""),Show!$B$17 &amp; "S.19.01.01.11 Rows{Z}@ForceFilingCode:false","")</f>
        <v/>
      </c>
      <c r="B1163" t="str">
        <f>IF(AND(LEFT('SE.01.01.16'!$D$46,8)&lt;&gt;"Reported",'SE.01.01.16'!$D$46&lt;&gt;""),Show!$B$17&amp; Show!$B$17&amp;"S.19.01.01.11 Rows{Z}@ForceFilingCode:false","")</f>
        <v/>
      </c>
    </row>
    <row r="1164" spans="1:2">
      <c r="A1164" t="str">
        <f>IF(AND(LEFT('SE.01.01.16'!$D$46,8)&lt;&gt;"Reported",'SE.01.01.16'!$D$46&lt;&gt;""),Show!$B$17 &amp; "S.19.01.01.12 Rows{Z}@ForceFilingCode:false","")</f>
        <v/>
      </c>
      <c r="B1164" t="str">
        <f>IF(AND(LEFT('SE.01.01.16'!$D$46,8)&lt;&gt;"Reported",'SE.01.01.16'!$D$46&lt;&gt;""),Show!$B$17&amp; Show!$B$17&amp;"S.19.01.01.12 Rows{Z}@ForceFilingCode:false","")</f>
        <v/>
      </c>
    </row>
    <row r="1165" spans="1:2">
      <c r="A1165" t="str">
        <f>IF(AND(LEFT('SE.01.01.16'!$D$46,8)&lt;&gt;"Reported",'SE.01.01.16'!$D$46&lt;&gt;""),Show!$B$17 &amp; "S.19.01.01.13 Rows{Z}@ForceFilingCode:false","")</f>
        <v/>
      </c>
      <c r="B1165" t="str">
        <f>IF(AND(LEFT('SE.01.01.16'!$D$46,8)&lt;&gt;"Reported",'SE.01.01.16'!$D$46&lt;&gt;""),Show!$B$17&amp; Show!$B$17&amp;"S.19.01.01.13 Rows{Z}@ForceFilingCode:false","")</f>
        <v/>
      </c>
    </row>
    <row r="1166" spans="1:2">
      <c r="A1166" t="str">
        <f>IF(AND(LEFT('SE.01.01.16'!$D$46,8)&lt;&gt;"Reported",'SE.01.01.16'!$D$46&lt;&gt;""),Show!$B$17 &amp; "S.19.01.01.14 Rows{Z}@ForceFilingCode:false","")</f>
        <v/>
      </c>
      <c r="B1166" t="str">
        <f>IF(AND(LEFT('SE.01.01.16'!$D$46,8)&lt;&gt;"Reported",'SE.01.01.16'!$D$46&lt;&gt;""),Show!$B$17&amp; Show!$B$17&amp;"S.19.01.01.14 Rows{Z}@ForceFilingCode:false","")</f>
        <v/>
      </c>
    </row>
    <row r="1167" spans="1:2">
      <c r="A1167" t="str">
        <f>IF(AND(LEFT('SE.01.01.16'!$D$46,8)&lt;&gt;"Reported",'SE.01.01.16'!$D$46&lt;&gt;""),Show!$B$17 &amp; "S.19.01.01.15 Rows{Z}@ForceFilingCode:false","")</f>
        <v/>
      </c>
      <c r="B1167" t="str">
        <f>IF(AND(LEFT('SE.01.01.16'!$D$46,8)&lt;&gt;"Reported",'SE.01.01.16'!$D$46&lt;&gt;""),Show!$B$17&amp; Show!$B$17&amp;"S.19.01.01.15 Rows{Z}@ForceFilingCode:false","")</f>
        <v/>
      </c>
    </row>
    <row r="1168" spans="1:2">
      <c r="A1168" t="str">
        <f>IF(AND(LEFT('SE.01.01.16'!$D$46,8)&lt;&gt;"Reported",'SE.01.01.16'!$D$46&lt;&gt;""),Show!$B$17 &amp; "S.19.01.01.16 Rows{Z}@ForceFilingCode:false","")</f>
        <v/>
      </c>
      <c r="B1168" t="str">
        <f>IF(AND(LEFT('SE.01.01.16'!$D$46,8)&lt;&gt;"Reported",'SE.01.01.16'!$D$46&lt;&gt;""),Show!$B$17&amp; Show!$B$17&amp;"S.19.01.01.16 Rows{Z}@ForceFilingCode:false","")</f>
        <v/>
      </c>
    </row>
    <row r="1169" spans="1:2">
      <c r="A1169" t="str">
        <f>IF(AND(LEFT('SE.01.01.16'!$D$46,8)&lt;&gt;"Reported",'SE.01.01.16'!$D$46&lt;&gt;""),Show!$B$17 &amp; "S.19.01.01.17 Rows{Z}@ForceFilingCode:false","")</f>
        <v/>
      </c>
      <c r="B1169" t="str">
        <f>IF(AND(LEFT('SE.01.01.16'!$D$46,8)&lt;&gt;"Reported",'SE.01.01.16'!$D$46&lt;&gt;""),Show!$B$17&amp; Show!$B$17&amp;"S.19.01.01.17 Rows{Z}@ForceFilingCode:false","")</f>
        <v/>
      </c>
    </row>
    <row r="1170" spans="1:2">
      <c r="A1170" t="str">
        <f>IF(AND(LEFT('SE.01.01.16'!$D$46,8)&lt;&gt;"Reported",'SE.01.01.16'!$D$46&lt;&gt;""),Show!$B$17 &amp; "S.19.01.01.18 Rows{Z}@ForceFilingCode:false","")</f>
        <v/>
      </c>
      <c r="B1170" t="str">
        <f>IF(AND(LEFT('SE.01.01.16'!$D$46,8)&lt;&gt;"Reported",'SE.01.01.16'!$D$46&lt;&gt;""),Show!$B$17&amp; Show!$B$17&amp;"S.19.01.01.18 Rows{Z}@ForceFilingCode:false","")</f>
        <v/>
      </c>
    </row>
    <row r="1171" spans="1:2">
      <c r="A1171" t="str">
        <f>IF(AND(LEFT('SE.01.01.16'!$D$46,8)&lt;&gt;"Reported",'SE.01.01.16'!$D$46&lt;&gt;""),Show!$B$17 &amp; "S.19.01.01.19 Rows{Z}@ForceFilingCode:false","")</f>
        <v/>
      </c>
      <c r="B1171" t="str">
        <f>IF(AND(LEFT('SE.01.01.16'!$D$46,8)&lt;&gt;"Reported",'SE.01.01.16'!$D$46&lt;&gt;""),Show!$B$17&amp; Show!$B$17&amp;"S.19.01.01.19 Rows{Z}@ForceFilingCode:false","")</f>
        <v/>
      </c>
    </row>
    <row r="1172" spans="1:2">
      <c r="A1172" t="str">
        <f>IF(AND(LEFT('SE.01.01.16'!$D$46,8)&lt;&gt;"Reported",'SE.01.01.16'!$D$46&lt;&gt;""),Show!$B$17 &amp; "S.19.01.01.20 Rows{Z}@ForceFilingCode:false","")</f>
        <v/>
      </c>
      <c r="B1172" t="str">
        <f>IF(AND(LEFT('SE.01.01.16'!$D$46,8)&lt;&gt;"Reported",'SE.01.01.16'!$D$46&lt;&gt;""),Show!$B$17&amp; Show!$B$17&amp;"S.19.01.01.20 Rows{Z}@ForceFilingCode:false","")</f>
        <v/>
      </c>
    </row>
    <row r="1173" spans="1:2">
      <c r="A1173" t="str">
        <f>IF(AND(LEFT('SE.01.01.16'!$D$46,8)&lt;&gt;"Reported",'SE.01.01.16'!$D$46&lt;&gt;""),Show!$B$17 &amp; "S.19.01.01.21 Rows{Z}@ForceFilingCode:false","")</f>
        <v/>
      </c>
      <c r="B1173" t="str">
        <f>IF(AND(LEFT('SE.01.01.16'!$D$46,8)&lt;&gt;"Reported",'SE.01.01.16'!$D$46&lt;&gt;""),Show!$B$17&amp; Show!$B$17&amp;"S.19.01.01.21 Rows{Z}@ForceFilingCode:false","")</f>
        <v/>
      </c>
    </row>
    <row r="1174" spans="1:2">
      <c r="A1174" t="str">
        <f>IF(AND(LEFT('SE.01.01.16'!$D$47,8)&lt;&gt;"Reported",'SE.01.01.16'!$D$47&lt;&gt;""),Show!$B$17 &amp; "S.20.01.01.01 Rows{Z}@ForceFilingCode:false","")</f>
        <v/>
      </c>
      <c r="B1174" t="str">
        <f>IF(AND(LEFT('SE.01.01.16'!$D$47,8)&lt;&gt;"Reported",'SE.01.01.16'!$D$47&lt;&gt;""),Show!$B$17&amp; Show!$B$17&amp;"S.20.01.01.01 Rows{Z}@ForceFilingCode:false","")</f>
        <v/>
      </c>
    </row>
    <row r="1175" spans="1:2">
      <c r="A1175" t="str">
        <f>IF(AND(LEFT('SE.01.01.16'!$D$48,8)&lt;&gt;"Reported",'SE.01.01.16'!$D$48&lt;&gt;""),Show!$B$17 &amp; "S.21.01.01.01 Rows{Z}@ForceFilingCode:false","")</f>
        <v/>
      </c>
      <c r="B1175" t="str">
        <f>IF(AND(LEFT('SE.01.01.16'!$D$48,8)&lt;&gt;"Reported",'SE.01.01.16'!$D$48&lt;&gt;""),Show!$B$17&amp; Show!$B$17&amp;"S.21.01.01.01 Rows{Z}@ForceFilingCode:false","")</f>
        <v/>
      </c>
    </row>
    <row r="1176" spans="1:2">
      <c r="A1176" t="str">
        <f>IF(AND(LEFT('SE.01.01.16'!$D$49,8)&lt;&gt;"Reported",'SE.01.01.16'!$D$49&lt;&gt;""),Show!$B$17 &amp; "S.21.02.01.01 Rows{Z}@ForceFilingCode:false","")</f>
        <v/>
      </c>
      <c r="B1176" t="str">
        <f>IF(AND(LEFT('SE.01.01.16'!$D$49,8)&lt;&gt;"Reported",'SE.01.01.16'!$D$49&lt;&gt;""),Show!$B$17&amp; Show!$B$17&amp;"S.21.02.01.01 Rows{Z}@ForceFilingCode:false","")</f>
        <v/>
      </c>
    </row>
    <row r="1177" spans="1:2">
      <c r="A1177" t="str">
        <f>IF(AND(LEFT('SE.01.01.16'!$D$50,8)&lt;&gt;"Reported",'SE.01.01.16'!$D$50&lt;&gt;""),Show!$B$17 &amp; "S.21.03.01.01 Rows{Z}@ForceFilingCode:false","")</f>
        <v/>
      </c>
      <c r="B1177" t="str">
        <f>IF(AND(LEFT('SE.01.01.16'!$D$50,8)&lt;&gt;"Reported",'SE.01.01.16'!$D$50&lt;&gt;""),Show!$B$17&amp; Show!$B$17&amp;"S.21.03.01.01 Rows{Z}@ForceFilingCode:false","")</f>
        <v/>
      </c>
    </row>
    <row r="1178" spans="1:2">
      <c r="A1178" t="str">
        <f>IF(AND(LEFT('SE.01.01.16'!$D$51,8)&lt;&gt;"Reported",'SE.01.01.16'!$D$51&lt;&gt;""),Show!$B$17 &amp; "S.22.01.01.01 Rows{Z}@ForceFilingCode:false","")</f>
        <v/>
      </c>
      <c r="B1178" t="str">
        <f>IF(AND(LEFT('SE.01.01.16'!$D$51,8)&lt;&gt;"Reported",'SE.01.01.16'!$D$51&lt;&gt;""),Show!$B$17&amp; Show!$B$17&amp;"S.22.01.01.01 Rows{Z}@ForceFilingCode:false","")</f>
        <v/>
      </c>
    </row>
    <row r="1179" spans="1:2">
      <c r="A1179" t="str">
        <f>IF(AND(LEFT('SE.01.01.16'!$D$52,8)&lt;&gt;"Reported",'SE.01.01.16'!$D$52&lt;&gt;""),Show!$B$17 &amp; "S.22.04.01.01 Rows{Z}@ForceFilingCode:false","")</f>
        <v/>
      </c>
      <c r="B1179" t="str">
        <f>IF(AND(LEFT('SE.01.01.16'!$D$52,8)&lt;&gt;"Reported",'SE.01.01.16'!$D$52&lt;&gt;""),Show!$B$17&amp; Show!$B$17&amp;"S.22.04.01.01 Rows{Z}@ForceFilingCode:false","")</f>
        <v/>
      </c>
    </row>
    <row r="1180" spans="1:2">
      <c r="A1180" t="str">
        <f>IF(AND(LEFT('SE.01.01.16'!$D$52,8)&lt;&gt;"Reported",'SE.01.01.16'!$D$52&lt;&gt;""),Show!$B$17 &amp; "S.22.04.01.02 Rows{Z}@ForceFilingCode:false","")</f>
        <v/>
      </c>
      <c r="B1180" t="str">
        <f>IF(AND(LEFT('SE.01.01.16'!$D$52,8)&lt;&gt;"Reported",'SE.01.01.16'!$D$52&lt;&gt;""),Show!$B$17&amp; Show!$B$17&amp;"S.22.04.01.02 Rows{Z}@ForceFilingCode:false","")</f>
        <v/>
      </c>
    </row>
    <row r="1181" spans="1:2">
      <c r="A1181" t="str">
        <f>IF(AND(LEFT('SE.01.01.16'!$D$53,8)&lt;&gt;"Reported",'SE.01.01.16'!$D$53&lt;&gt;""),Show!$B$17 &amp; "S.22.05.01.01 Rows{Z}@ForceFilingCode:false","")</f>
        <v/>
      </c>
      <c r="B1181" t="str">
        <f>IF(AND(LEFT('SE.01.01.16'!$D$53,8)&lt;&gt;"Reported",'SE.01.01.16'!$D$53&lt;&gt;""),Show!$B$17&amp; Show!$B$17&amp;"S.22.05.01.01 Rows{Z}@ForceFilingCode:false","")</f>
        <v/>
      </c>
    </row>
    <row r="1182" spans="1:2">
      <c r="A1182" t="str">
        <f>IF(AND(LEFT('SE.01.01.16'!$D$54,8)&lt;&gt;"Reported",'SE.01.01.16'!$D$54&lt;&gt;""),Show!$B$17 &amp; "S.22.06.01.01 Rows{Z}@ForceFilingCode:false","")</f>
        <v/>
      </c>
      <c r="B1182" t="str">
        <f>IF(AND(LEFT('SE.01.01.16'!$D$54,8)&lt;&gt;"Reported",'SE.01.01.16'!$D$54&lt;&gt;""),Show!$B$17&amp; Show!$B$17&amp;"S.22.06.01.01 Rows{Z}@ForceFilingCode:false","")</f>
        <v/>
      </c>
    </row>
    <row r="1183" spans="1:2">
      <c r="A1183" t="str">
        <f>IF(AND(LEFT('SE.01.01.16'!$D$54,8)&lt;&gt;"Reported",'SE.01.01.16'!$D$54&lt;&gt;""),Show!$B$17 &amp; "S.22.06.01.02 Rows{Z}@ForceFilingCode:false","")</f>
        <v/>
      </c>
      <c r="B1183" t="str">
        <f>IF(AND(LEFT('SE.01.01.16'!$D$54,8)&lt;&gt;"Reported",'SE.01.01.16'!$D$54&lt;&gt;""),Show!$B$17&amp; Show!$B$17&amp;"S.22.06.01.02 Rows{Z}@ForceFilingCode:false","")</f>
        <v/>
      </c>
    </row>
    <row r="1184" spans="1:2">
      <c r="A1184" t="str">
        <f>IF(AND(LEFT('SE.01.01.16'!$D$54,8)&lt;&gt;"Reported",'SE.01.01.16'!$D$54&lt;&gt;""),Show!$B$17 &amp; "S.22.06.01.03 Rows{Z}@ForceFilingCode:false","")</f>
        <v/>
      </c>
      <c r="B1184" t="str">
        <f>IF(AND(LEFT('SE.01.01.16'!$D$54,8)&lt;&gt;"Reported",'SE.01.01.16'!$D$54&lt;&gt;""),Show!$B$17&amp; Show!$B$17&amp;"S.22.06.01.03 Rows{Z}@ForceFilingCode:false","")</f>
        <v/>
      </c>
    </row>
    <row r="1185" spans="1:2">
      <c r="A1185" t="str">
        <f>IF(AND(LEFT('SE.01.01.16'!$D$54,8)&lt;&gt;"Reported",'SE.01.01.16'!$D$54&lt;&gt;""),Show!$B$17 &amp; "S.22.06.01.04 Rows{Z}@ForceFilingCode:false","")</f>
        <v/>
      </c>
      <c r="B1185" t="str">
        <f>IF(AND(LEFT('SE.01.01.16'!$D$54,8)&lt;&gt;"Reported",'SE.01.01.16'!$D$54&lt;&gt;""),Show!$B$17&amp; Show!$B$17&amp;"S.22.06.01.04 Rows{Z}@ForceFilingCode:false","")</f>
        <v/>
      </c>
    </row>
    <row r="1186" spans="1:2">
      <c r="A1186" t="str">
        <f>IF(AND(LEFT('SE.01.01.16'!$D$55,8)&lt;&gt;"Reported",'SE.01.01.16'!$D$55&lt;&gt;""),Show!$B$17 &amp; "S.23.01.01.01 Rows{Z}@ForceFilingCode:false","")</f>
        <v/>
      </c>
      <c r="B1186" t="str">
        <f>IF(AND(LEFT('SE.01.01.16'!$D$55,8)&lt;&gt;"Reported",'SE.01.01.16'!$D$55&lt;&gt;""),Show!$B$17&amp; Show!$B$17&amp;"S.23.01.01.01 Rows{Z}@ForceFilingCode:false","")</f>
        <v/>
      </c>
    </row>
    <row r="1187" spans="1:2">
      <c r="A1187" t="str">
        <f>IF(AND(LEFT('SE.01.01.16'!$D$55,8)&lt;&gt;"Reported",'SE.01.01.16'!$D$55&lt;&gt;""),Show!$B$17 &amp; "S.23.01.01.02 Rows{Z}@ForceFilingCode:false","")</f>
        <v/>
      </c>
      <c r="B1187" t="str">
        <f>IF(AND(LEFT('SE.01.01.16'!$D$55,8)&lt;&gt;"Reported",'SE.01.01.16'!$D$55&lt;&gt;""),Show!$B$17&amp; Show!$B$17&amp;"S.23.01.01.02 Rows{Z}@ForceFilingCode:false","")</f>
        <v/>
      </c>
    </row>
    <row r="1188" spans="1:2">
      <c r="A1188" t="str">
        <f>IF(AND(LEFT('SE.01.01.16'!$D$56,8)&lt;&gt;"Reported",'SE.01.01.16'!$D$56&lt;&gt;""),Show!$B$17 &amp; "S.23.02.01.01 Rows{Z}@ForceFilingCode:false","")</f>
        <v/>
      </c>
      <c r="B1188" t="str">
        <f>IF(AND(LEFT('SE.01.01.16'!$D$56,8)&lt;&gt;"Reported",'SE.01.01.16'!$D$56&lt;&gt;""),Show!$B$17&amp; Show!$B$17&amp;"S.23.02.01.01 Rows{Z}@ForceFilingCode:false","")</f>
        <v/>
      </c>
    </row>
    <row r="1189" spans="1:2">
      <c r="A1189" t="str">
        <f>IF(AND(LEFT('SE.01.01.16'!$D$56,8)&lt;&gt;"Reported",'SE.01.01.16'!$D$56&lt;&gt;""),Show!$B$17 &amp; "S.23.02.01.02 Rows{Z}@ForceFilingCode:false","")</f>
        <v/>
      </c>
      <c r="B1189" t="str">
        <f>IF(AND(LEFT('SE.01.01.16'!$D$56,8)&lt;&gt;"Reported",'SE.01.01.16'!$D$56&lt;&gt;""),Show!$B$17&amp; Show!$B$17&amp;"S.23.02.01.02 Rows{Z}@ForceFilingCode:false","")</f>
        <v/>
      </c>
    </row>
    <row r="1190" spans="1:2">
      <c r="A1190" t="str">
        <f>IF(AND(LEFT('SE.01.01.16'!$D$56,8)&lt;&gt;"Reported",'SE.01.01.16'!$D$56&lt;&gt;""),Show!$B$17 &amp; "S.23.02.01.03 Rows{Z}@ForceFilingCode:false","")</f>
        <v/>
      </c>
      <c r="B1190" t="str">
        <f>IF(AND(LEFT('SE.01.01.16'!$D$56,8)&lt;&gt;"Reported",'SE.01.01.16'!$D$56&lt;&gt;""),Show!$B$17&amp; Show!$B$17&amp;"S.23.02.01.03 Rows{Z}@ForceFilingCode:false","")</f>
        <v/>
      </c>
    </row>
    <row r="1191" spans="1:2">
      <c r="A1191" t="str">
        <f>IF(AND(LEFT('SE.01.01.16'!$D$56,8)&lt;&gt;"Reported",'SE.01.01.16'!$D$56&lt;&gt;""),Show!$B$17 &amp; "S.23.02.01.04 Rows{Z}@ForceFilingCode:false","")</f>
        <v/>
      </c>
      <c r="B1191" t="str">
        <f>IF(AND(LEFT('SE.01.01.16'!$D$56,8)&lt;&gt;"Reported",'SE.01.01.16'!$D$56&lt;&gt;""),Show!$B$17&amp; Show!$B$17&amp;"S.23.02.01.04 Rows{Z}@ForceFilingCode:false","")</f>
        <v/>
      </c>
    </row>
    <row r="1192" spans="1:2">
      <c r="A1192" t="str">
        <f>IF(AND(LEFT('SE.01.01.16'!$D$57,8)&lt;&gt;"Reported",'SE.01.01.16'!$D$57&lt;&gt;""),Show!$B$17 &amp; "S.23.03.01.01 Rows{Z}@ForceFilingCode:false","")</f>
        <v/>
      </c>
      <c r="B1192" t="str">
        <f>IF(AND(LEFT('SE.01.01.16'!$D$57,8)&lt;&gt;"Reported",'SE.01.01.16'!$D$57&lt;&gt;""),Show!$B$17&amp; Show!$B$17&amp;"S.23.03.01.01 Rows{Z}@ForceFilingCode:false","")</f>
        <v/>
      </c>
    </row>
    <row r="1193" spans="1:2">
      <c r="A1193" t="str">
        <f>IF(AND(LEFT('SE.01.01.16'!$D$57,8)&lt;&gt;"Reported",'SE.01.01.16'!$D$57&lt;&gt;""),Show!$B$17 &amp; "S.23.03.01.02 Rows{Z}@ForceFilingCode:false","")</f>
        <v/>
      </c>
      <c r="B1193" t="str">
        <f>IF(AND(LEFT('SE.01.01.16'!$D$57,8)&lt;&gt;"Reported",'SE.01.01.16'!$D$57&lt;&gt;""),Show!$B$17&amp; Show!$B$17&amp;"S.23.03.01.02 Rows{Z}@ForceFilingCode:false","")</f>
        <v/>
      </c>
    </row>
    <row r="1194" spans="1:2">
      <c r="A1194" t="str">
        <f>IF(AND(LEFT('SE.01.01.16'!$D$57,8)&lt;&gt;"Reported",'SE.01.01.16'!$D$57&lt;&gt;""),Show!$B$17 &amp; "S.23.03.01.03 Rows{Z}@ForceFilingCode:false","")</f>
        <v/>
      </c>
      <c r="B1194" t="str">
        <f>IF(AND(LEFT('SE.01.01.16'!$D$57,8)&lt;&gt;"Reported",'SE.01.01.16'!$D$57&lt;&gt;""),Show!$B$17&amp; Show!$B$17&amp;"S.23.03.01.03 Rows{Z}@ForceFilingCode:false","")</f>
        <v/>
      </c>
    </row>
    <row r="1195" spans="1:2">
      <c r="A1195" t="str">
        <f>IF(AND(LEFT('SE.01.01.16'!$D$57,8)&lt;&gt;"Reported",'SE.01.01.16'!$D$57&lt;&gt;""),Show!$B$17 &amp; "S.23.03.01.04 Rows{Z}@ForceFilingCode:false","")</f>
        <v/>
      </c>
      <c r="B1195" t="str">
        <f>IF(AND(LEFT('SE.01.01.16'!$D$57,8)&lt;&gt;"Reported",'SE.01.01.16'!$D$57&lt;&gt;""),Show!$B$17&amp; Show!$B$17&amp;"S.23.03.01.04 Rows{Z}@ForceFilingCode:false","")</f>
        <v/>
      </c>
    </row>
    <row r="1196" spans="1:2">
      <c r="A1196" t="str">
        <f>IF(AND(LEFT('SE.01.01.16'!$D$57,8)&lt;&gt;"Reported",'SE.01.01.16'!$D$57&lt;&gt;""),Show!$B$17 &amp; "S.23.03.01.05 Rows{Z}@ForceFilingCode:false","")</f>
        <v/>
      </c>
      <c r="B1196" t="str">
        <f>IF(AND(LEFT('SE.01.01.16'!$D$57,8)&lt;&gt;"Reported",'SE.01.01.16'!$D$57&lt;&gt;""),Show!$B$17&amp; Show!$B$17&amp;"S.23.03.01.05 Rows{Z}@ForceFilingCode:false","")</f>
        <v/>
      </c>
    </row>
    <row r="1197" spans="1:2">
      <c r="A1197" t="str">
        <f>IF(AND(LEFT('SE.01.01.16'!$D$57,8)&lt;&gt;"Reported",'SE.01.01.16'!$D$57&lt;&gt;""),Show!$B$17 &amp; "S.23.03.01.06 Rows{Z}@ForceFilingCode:false","")</f>
        <v/>
      </c>
      <c r="B1197" t="str">
        <f>IF(AND(LEFT('SE.01.01.16'!$D$57,8)&lt;&gt;"Reported",'SE.01.01.16'!$D$57&lt;&gt;""),Show!$B$17&amp; Show!$B$17&amp;"S.23.03.01.06 Rows{Z}@ForceFilingCode:false","")</f>
        <v/>
      </c>
    </row>
    <row r="1198" spans="1:2">
      <c r="A1198" t="str">
        <f>IF(AND(LEFT('SE.01.01.16'!$D$57,8)&lt;&gt;"Reported",'SE.01.01.16'!$D$57&lt;&gt;""),Show!$B$17 &amp; "S.23.03.01.07 Rows{Z}@ForceFilingCode:false","")</f>
        <v/>
      </c>
      <c r="B1198" t="str">
        <f>IF(AND(LEFT('SE.01.01.16'!$D$57,8)&lt;&gt;"Reported",'SE.01.01.16'!$D$57&lt;&gt;""),Show!$B$17&amp; Show!$B$17&amp;"S.23.03.01.07 Rows{Z}@ForceFilingCode:false","")</f>
        <v/>
      </c>
    </row>
    <row r="1199" spans="1:2">
      <c r="A1199" t="str">
        <f>IF(AND(LEFT('SE.01.01.16'!$D$57,8)&lt;&gt;"Reported",'SE.01.01.16'!$D$57&lt;&gt;""),Show!$B$17 &amp; "S.23.03.01.08 Rows{Z}@ForceFilingCode:false","")</f>
        <v/>
      </c>
      <c r="B1199" t="str">
        <f>IF(AND(LEFT('SE.01.01.16'!$D$57,8)&lt;&gt;"Reported",'SE.01.01.16'!$D$57&lt;&gt;""),Show!$B$17&amp; Show!$B$17&amp;"S.23.03.01.08 Rows{Z}@ForceFilingCode:false","")</f>
        <v/>
      </c>
    </row>
    <row r="1200" spans="1:2">
      <c r="A1200" t="str">
        <f>IF(AND(LEFT('SE.01.01.16'!$D$58,8)&lt;&gt;"Reported",'SE.01.01.16'!$D$58&lt;&gt;""),Show!$B$17 &amp; "S.23.04.01.01 Rows{Z}@ForceFilingCode:false","")</f>
        <v/>
      </c>
      <c r="B1200" t="str">
        <f>IF(AND(LEFT('SE.01.01.16'!$D$58,8)&lt;&gt;"Reported",'SE.01.01.16'!$D$58&lt;&gt;""),Show!$B$17&amp; Show!$B$17&amp;"S.23.04.01.01 Rows{Z}@ForceFilingCode:false","")</f>
        <v/>
      </c>
    </row>
    <row r="1201" spans="1:2">
      <c r="A1201" t="str">
        <f>IF(AND(LEFT('SE.01.01.16'!$D$58,8)&lt;&gt;"Reported",'SE.01.01.16'!$D$58&lt;&gt;""),Show!$B$17 &amp; "S.23.04.01.02 Rows{Z}@ForceFilingCode:false","")</f>
        <v/>
      </c>
      <c r="B1201" t="str">
        <f>IF(AND(LEFT('SE.01.01.16'!$D$58,8)&lt;&gt;"Reported",'SE.01.01.16'!$D$58&lt;&gt;""),Show!$B$17&amp; Show!$B$17&amp;"S.23.04.01.02 Rows{Z}@ForceFilingCode:false","")</f>
        <v/>
      </c>
    </row>
    <row r="1202" spans="1:2">
      <c r="A1202" t="str">
        <f>IF(AND(LEFT('SE.01.01.16'!$D$58,8)&lt;&gt;"Reported",'SE.01.01.16'!$D$58&lt;&gt;""),Show!$B$17 &amp; "S.23.04.01.03 Rows{Z}@ForceFilingCode:false","")</f>
        <v/>
      </c>
      <c r="B1202" t="str">
        <f>IF(AND(LEFT('SE.01.01.16'!$D$58,8)&lt;&gt;"Reported",'SE.01.01.16'!$D$58&lt;&gt;""),Show!$B$17&amp; Show!$B$17&amp;"S.23.04.01.03 Rows{Z}@ForceFilingCode:false","")</f>
        <v/>
      </c>
    </row>
    <row r="1203" spans="1:2">
      <c r="A1203" t="str">
        <f>IF(AND(LEFT('SE.01.01.16'!$D$58,8)&lt;&gt;"Reported",'SE.01.01.16'!$D$58&lt;&gt;""),Show!$B$17 &amp; "S.23.04.01.04 Rows{Z}@ForceFilingCode:false","")</f>
        <v/>
      </c>
      <c r="B1203" t="str">
        <f>IF(AND(LEFT('SE.01.01.16'!$D$58,8)&lt;&gt;"Reported",'SE.01.01.16'!$D$58&lt;&gt;""),Show!$B$17&amp; Show!$B$17&amp;"S.23.04.01.04 Rows{Z}@ForceFilingCode:false","")</f>
        <v/>
      </c>
    </row>
    <row r="1204" spans="1:2">
      <c r="A1204" t="str">
        <f>IF(AND(LEFT('SE.01.01.16'!$D$58,8)&lt;&gt;"Reported",'SE.01.01.16'!$D$58&lt;&gt;""),Show!$B$17 &amp; "S.23.04.01.05 Rows{Z}@ForceFilingCode:false","")</f>
        <v/>
      </c>
      <c r="B1204" t="str">
        <f>IF(AND(LEFT('SE.01.01.16'!$D$58,8)&lt;&gt;"Reported",'SE.01.01.16'!$D$58&lt;&gt;""),Show!$B$17&amp; Show!$B$17&amp;"S.23.04.01.05 Rows{Z}@ForceFilingCode:false","")</f>
        <v/>
      </c>
    </row>
    <row r="1205" spans="1:2">
      <c r="A1205" t="str">
        <f>IF(AND(LEFT('SE.01.01.16'!$D$58,8)&lt;&gt;"Reported",'SE.01.01.16'!$D$58&lt;&gt;""),Show!$B$17 &amp; "S.23.04.01.06 Rows{Z}@ForceFilingCode:false","")</f>
        <v/>
      </c>
      <c r="B1205" t="str">
        <f>IF(AND(LEFT('SE.01.01.16'!$D$58,8)&lt;&gt;"Reported",'SE.01.01.16'!$D$58&lt;&gt;""),Show!$B$17&amp; Show!$B$17&amp;"S.23.04.01.06 Rows{Z}@ForceFilingCode:false","")</f>
        <v/>
      </c>
    </row>
    <row r="1206" spans="1:2">
      <c r="A1206" t="str">
        <f>IF(AND(LEFT('SE.01.01.16'!$D$58,8)&lt;&gt;"Reported",'SE.01.01.16'!$D$58&lt;&gt;""),Show!$B$17 &amp; "S.23.04.01.07 Rows{Z}@ForceFilingCode:false","")</f>
        <v/>
      </c>
      <c r="B1206" t="str">
        <f>IF(AND(LEFT('SE.01.01.16'!$D$58,8)&lt;&gt;"Reported",'SE.01.01.16'!$D$58&lt;&gt;""),Show!$B$17&amp; Show!$B$17&amp;"S.23.04.01.07 Rows{Z}@ForceFilingCode:false","")</f>
        <v/>
      </c>
    </row>
    <row r="1207" spans="1:2">
      <c r="A1207" t="str">
        <f>IF(AND(LEFT('SE.01.01.16'!$D$58,8)&lt;&gt;"Reported",'SE.01.01.16'!$D$58&lt;&gt;""),Show!$B$17 &amp; "S.23.04.01.09 Rows{Z}@ForceFilingCode:false","")</f>
        <v/>
      </c>
      <c r="B1207" t="str">
        <f>IF(AND(LEFT('SE.01.01.16'!$D$58,8)&lt;&gt;"Reported",'SE.01.01.16'!$D$58&lt;&gt;""),Show!$B$17&amp; Show!$B$17&amp;"S.23.04.01.09 Rows{Z}@ForceFilingCode:false","")</f>
        <v/>
      </c>
    </row>
    <row r="1208" spans="1:2">
      <c r="A1208" t="str">
        <f>IF(AND(LEFT('SE.01.01.16'!$D$59,8)&lt;&gt;"Reported",'SE.01.01.16'!$D$59&lt;&gt;""),Show!$B$17 &amp; "S.24.01.01.01 Rows{Z}@ForceFilingCode:false","")</f>
        <v/>
      </c>
      <c r="B1208" t="str">
        <f>IF(AND(LEFT('SE.01.01.16'!$D$59,8)&lt;&gt;"Reported",'SE.01.01.16'!$D$59&lt;&gt;""),Show!$B$17&amp; Show!$B$17&amp;"S.24.01.01.01 Rows{Z}@ForceFilingCode:false","")</f>
        <v/>
      </c>
    </row>
    <row r="1209" spans="1:2">
      <c r="A1209" t="str">
        <f>IF(AND(LEFT('SE.01.01.16'!$D$59,8)&lt;&gt;"Reported",'SE.01.01.16'!$D$59&lt;&gt;""),Show!$B$17 &amp; "S.24.01.01.02 Rows{Z}@ForceFilingCode:false","")</f>
        <v/>
      </c>
      <c r="B1209" t="str">
        <f>IF(AND(LEFT('SE.01.01.16'!$D$59,8)&lt;&gt;"Reported",'SE.01.01.16'!$D$59&lt;&gt;""),Show!$B$17&amp; Show!$B$17&amp;"S.24.01.01.02 Rows{Z}@ForceFilingCode:false","")</f>
        <v/>
      </c>
    </row>
    <row r="1210" spans="1:2">
      <c r="A1210" t="str">
        <f>IF(AND(LEFT('SE.01.01.16'!$D$59,8)&lt;&gt;"Reported",'SE.01.01.16'!$D$59&lt;&gt;""),Show!$B$17 &amp; "S.24.01.01.03 Rows{Z}@ForceFilingCode:false","")</f>
        <v/>
      </c>
      <c r="B1210" t="str">
        <f>IF(AND(LEFT('SE.01.01.16'!$D$59,8)&lt;&gt;"Reported",'SE.01.01.16'!$D$59&lt;&gt;""),Show!$B$17&amp; Show!$B$17&amp;"S.24.01.01.03 Rows{Z}@ForceFilingCode:false","")</f>
        <v/>
      </c>
    </row>
    <row r="1211" spans="1:2">
      <c r="A1211" t="str">
        <f>IF(AND(LEFT('SE.01.01.16'!$D$59,8)&lt;&gt;"Reported",'SE.01.01.16'!$D$59&lt;&gt;""),Show!$B$17 &amp; "S.24.01.01.04 Rows{Z}@ForceFilingCode:false","")</f>
        <v/>
      </c>
      <c r="B1211" t="str">
        <f>IF(AND(LEFT('SE.01.01.16'!$D$59,8)&lt;&gt;"Reported",'SE.01.01.16'!$D$59&lt;&gt;""),Show!$B$17&amp; Show!$B$17&amp;"S.24.01.01.04 Rows{Z}@ForceFilingCode:false","")</f>
        <v/>
      </c>
    </row>
    <row r="1212" spans="1:2">
      <c r="A1212" t="str">
        <f>IF(AND(LEFT('SE.01.01.16'!$D$59,8)&lt;&gt;"Reported",'SE.01.01.16'!$D$59&lt;&gt;""),Show!$B$17 &amp; "S.24.01.01.05 Rows{Z}@ForceFilingCode:false","")</f>
        <v/>
      </c>
      <c r="B1212" t="str">
        <f>IF(AND(LEFT('SE.01.01.16'!$D$59,8)&lt;&gt;"Reported",'SE.01.01.16'!$D$59&lt;&gt;""),Show!$B$17&amp; Show!$B$17&amp;"S.24.01.01.05 Rows{Z}@ForceFilingCode:false","")</f>
        <v/>
      </c>
    </row>
    <row r="1213" spans="1:2">
      <c r="A1213" t="str">
        <f>IF(AND(LEFT('SE.01.01.16'!$D$59,8)&lt;&gt;"Reported",'SE.01.01.16'!$D$59&lt;&gt;""),Show!$B$17 &amp; "S.24.01.01.06 Rows{Z}@ForceFilingCode:false","")</f>
        <v/>
      </c>
      <c r="B1213" t="str">
        <f>IF(AND(LEFT('SE.01.01.16'!$D$59,8)&lt;&gt;"Reported",'SE.01.01.16'!$D$59&lt;&gt;""),Show!$B$17&amp; Show!$B$17&amp;"S.24.01.01.06 Rows{Z}@ForceFilingCode:false","")</f>
        <v/>
      </c>
    </row>
    <row r="1214" spans="1:2">
      <c r="A1214" t="str">
        <f>IF(AND(LEFT('SE.01.01.16'!$D$59,8)&lt;&gt;"Reported",'SE.01.01.16'!$D$59&lt;&gt;""),Show!$B$17 &amp; "S.24.01.01.07 Rows{Z}@ForceFilingCode:false","")</f>
        <v/>
      </c>
      <c r="B1214" t="str">
        <f>IF(AND(LEFT('SE.01.01.16'!$D$59,8)&lt;&gt;"Reported",'SE.01.01.16'!$D$59&lt;&gt;""),Show!$B$17&amp; Show!$B$17&amp;"S.24.01.01.07 Rows{Z}@ForceFilingCode:false","")</f>
        <v/>
      </c>
    </row>
    <row r="1215" spans="1:2">
      <c r="A1215" t="str">
        <f>IF(AND(LEFT('SE.01.01.16'!$D$59,8)&lt;&gt;"Reported",'SE.01.01.16'!$D$59&lt;&gt;""),Show!$B$17 &amp; "S.24.01.01.08 Rows{Z}@ForceFilingCode:false","")</f>
        <v/>
      </c>
      <c r="B1215" t="str">
        <f>IF(AND(LEFT('SE.01.01.16'!$D$59,8)&lt;&gt;"Reported",'SE.01.01.16'!$D$59&lt;&gt;""),Show!$B$17&amp; Show!$B$17&amp;"S.24.01.01.08 Rows{Z}@ForceFilingCode:false","")</f>
        <v/>
      </c>
    </row>
    <row r="1216" spans="1:2">
      <c r="A1216" t="str">
        <f>IF(AND(LEFT('SE.01.01.16'!$D$59,8)&lt;&gt;"Reported",'SE.01.01.16'!$D$59&lt;&gt;""),Show!$B$17 &amp; "S.24.01.01.09 Rows{Z}@ForceFilingCode:false","")</f>
        <v/>
      </c>
      <c r="B1216" t="str">
        <f>IF(AND(LEFT('SE.01.01.16'!$D$59,8)&lt;&gt;"Reported",'SE.01.01.16'!$D$59&lt;&gt;""),Show!$B$17&amp; Show!$B$17&amp;"S.24.01.01.09 Rows{Z}@ForceFilingCode:false","")</f>
        <v/>
      </c>
    </row>
    <row r="1217" spans="1:2">
      <c r="A1217" t="str">
        <f>IF(AND(LEFT('SE.01.01.16'!$D$59,8)&lt;&gt;"Reported",'SE.01.01.16'!$D$59&lt;&gt;""),Show!$B$17 &amp; "S.24.01.01.10 Rows{Z}@ForceFilingCode:false","")</f>
        <v/>
      </c>
      <c r="B1217" t="str">
        <f>IF(AND(LEFT('SE.01.01.16'!$D$59,8)&lt;&gt;"Reported",'SE.01.01.16'!$D$59&lt;&gt;""),Show!$B$17&amp; Show!$B$17&amp;"S.24.01.01.10 Rows{Z}@ForceFilingCode:false","")</f>
        <v/>
      </c>
    </row>
    <row r="1218" spans="1:2">
      <c r="A1218" t="str">
        <f>IF(AND(LEFT('SE.01.01.16'!$D$59,8)&lt;&gt;"Reported",'SE.01.01.16'!$D$59&lt;&gt;""),Show!$B$17 &amp; "S.24.01.01.11 Rows{Z}@ForceFilingCode:false","")</f>
        <v/>
      </c>
      <c r="B1218" t="str">
        <f>IF(AND(LEFT('SE.01.01.16'!$D$59,8)&lt;&gt;"Reported",'SE.01.01.16'!$D$59&lt;&gt;""),Show!$B$17&amp; Show!$B$17&amp;"S.24.01.01.11 Rows{Z}@ForceFilingCode:false","")</f>
        <v/>
      </c>
    </row>
    <row r="1219" spans="1:2">
      <c r="A1219" t="str">
        <f>IF(AND(LEFT('SE.01.01.16'!$D$60,8)&lt;&gt;"Reported",'SE.01.01.16'!$D$60&lt;&gt;""),Show!$B$17 &amp; "S.25.01.01.01 Rows{Z}@ForceFilingCode:false","")</f>
        <v/>
      </c>
      <c r="B1219" t="str">
        <f>IF(AND(LEFT('SE.01.01.16'!$D$60,8)&lt;&gt;"Reported",'SE.01.01.16'!$D$60&lt;&gt;""),Show!$B$17&amp; Show!$B$17&amp;"S.25.01.01.01 Rows{Z}@ForceFilingCode:false","")</f>
        <v/>
      </c>
    </row>
    <row r="1220" spans="1:2">
      <c r="A1220" t="str">
        <f>IF(AND(LEFT('SE.01.01.16'!$D$60,8)&lt;&gt;"Reported",'SE.01.01.16'!$D$60&lt;&gt;""),Show!$B$17 &amp; "S.25.01.01.02 Rows{Z}@ForceFilingCode:false","")</f>
        <v/>
      </c>
      <c r="B1220" t="str">
        <f>IF(AND(LEFT('SE.01.01.16'!$D$60,8)&lt;&gt;"Reported",'SE.01.01.16'!$D$60&lt;&gt;""),Show!$B$17&amp; Show!$B$17&amp;"S.25.01.01.02 Rows{Z}@ForceFilingCode:false","")</f>
        <v/>
      </c>
    </row>
    <row r="1221" spans="1:2">
      <c r="A1221" t="str">
        <f>IF(AND(LEFT('SE.01.01.16'!$D$60,8)&lt;&gt;"Reported",'SE.01.01.16'!$D$60&lt;&gt;""),Show!$B$17 &amp; "S.25.01.01.03 Rows{Z}@ForceFilingCode:false","")</f>
        <v/>
      </c>
      <c r="B1221" t="str">
        <f>IF(AND(LEFT('SE.01.01.16'!$D$60,8)&lt;&gt;"Reported",'SE.01.01.16'!$D$60&lt;&gt;""),Show!$B$17&amp; Show!$B$17&amp;"S.25.01.01.03 Rows{Z}@ForceFilingCode:false","")</f>
        <v/>
      </c>
    </row>
    <row r="1222" spans="1:2">
      <c r="A1222" t="str">
        <f>IF(AND(LEFT('SE.01.01.16'!$D$60,8)&lt;&gt;"Reported",'SE.01.01.16'!$D$60&lt;&gt;""),Show!$B$17 &amp; "S.25.01.01.04 Rows{Z}@ForceFilingCode:false","")</f>
        <v/>
      </c>
      <c r="B1222" t="str">
        <f>IF(AND(LEFT('SE.01.01.16'!$D$60,8)&lt;&gt;"Reported",'SE.01.01.16'!$D$60&lt;&gt;""),Show!$B$17&amp; Show!$B$17&amp;"S.25.01.01.04 Rows{Z}@ForceFilingCode:false","")</f>
        <v/>
      </c>
    </row>
    <row r="1223" spans="1:2">
      <c r="A1223" t="str">
        <f>IF(AND(LEFT('SE.01.01.16'!$D$60,8)&lt;&gt;"Reported",'SE.01.01.16'!$D$60&lt;&gt;""),Show!$B$17 &amp; "S.25.01.01.05 Rows{Z}@ForceFilingCode:false","")</f>
        <v/>
      </c>
      <c r="B1223" t="str">
        <f>IF(AND(LEFT('SE.01.01.16'!$D$60,8)&lt;&gt;"Reported",'SE.01.01.16'!$D$60&lt;&gt;""),Show!$B$17&amp; Show!$B$17&amp;"S.25.01.01.05 Rows{Z}@ForceFilingCode:false","")</f>
        <v/>
      </c>
    </row>
    <row r="1224" spans="1:2">
      <c r="A1224" t="str">
        <f>IF(AND(LEFT('SE.01.01.16'!$D$61,8)&lt;&gt;"Reported",'SE.01.01.16'!$D$61&lt;&gt;""),Show!$B$17 &amp; "S.25.02.01.01 Rows{Z}@ForceFilingCode:false","")</f>
        <v/>
      </c>
      <c r="B1224" t="str">
        <f>IF(AND(LEFT('SE.01.01.16'!$D$61,8)&lt;&gt;"Reported",'SE.01.01.16'!$D$61&lt;&gt;""),Show!$B$17&amp; Show!$B$17&amp;"S.25.02.01.01 Rows{Z}@ForceFilingCode:false","")</f>
        <v/>
      </c>
    </row>
    <row r="1225" spans="1:2">
      <c r="A1225" t="str">
        <f>IF(AND(LEFT('SE.01.01.16'!$D$61,8)&lt;&gt;"Reported",'SE.01.01.16'!$D$61&lt;&gt;""),Show!$B$17 &amp; "S.25.02.01.02 Rows{Z}@ForceFilingCode:false","")</f>
        <v/>
      </c>
      <c r="B1225" t="str">
        <f>IF(AND(LEFT('SE.01.01.16'!$D$61,8)&lt;&gt;"Reported",'SE.01.01.16'!$D$61&lt;&gt;""),Show!$B$17&amp; Show!$B$17&amp;"S.25.02.01.02 Rows{Z}@ForceFilingCode:false","")</f>
        <v/>
      </c>
    </row>
    <row r="1226" spans="1:2">
      <c r="A1226" t="str">
        <f>IF(AND(LEFT('SE.01.01.16'!$D$61,8)&lt;&gt;"Reported",'SE.01.01.16'!$D$61&lt;&gt;""),Show!$B$17 &amp; "S.25.02.01.03 Rows{Z}@ForceFilingCode:false","")</f>
        <v/>
      </c>
      <c r="B1226" t="str">
        <f>IF(AND(LEFT('SE.01.01.16'!$D$61,8)&lt;&gt;"Reported",'SE.01.01.16'!$D$61&lt;&gt;""),Show!$B$17&amp; Show!$B$17&amp;"S.25.02.01.03 Rows{Z}@ForceFilingCode:false","")</f>
        <v/>
      </c>
    </row>
    <row r="1227" spans="1:2">
      <c r="A1227" t="str">
        <f>IF(AND(LEFT('SE.01.01.16'!$D$61,8)&lt;&gt;"Reported",'SE.01.01.16'!$D$61&lt;&gt;""),Show!$B$17 &amp; "S.25.02.01.04 Rows{Z}@ForceFilingCode:false","")</f>
        <v/>
      </c>
      <c r="B1227" t="str">
        <f>IF(AND(LEFT('SE.01.01.16'!$D$61,8)&lt;&gt;"Reported",'SE.01.01.16'!$D$61&lt;&gt;""),Show!$B$17&amp; Show!$B$17&amp;"S.25.02.01.04 Rows{Z}@ForceFilingCode:false","")</f>
        <v/>
      </c>
    </row>
    <row r="1228" spans="1:2">
      <c r="A1228" t="str">
        <f>IF(AND(LEFT('SE.01.01.16'!$D$61,8)&lt;&gt;"Reported",'SE.01.01.16'!$D$61&lt;&gt;""),Show!$B$17 &amp; "S.25.02.01.05 Rows{Z}@ForceFilingCode:false","")</f>
        <v/>
      </c>
      <c r="B1228" t="str">
        <f>IF(AND(LEFT('SE.01.01.16'!$D$61,8)&lt;&gt;"Reported",'SE.01.01.16'!$D$61&lt;&gt;""),Show!$B$17&amp; Show!$B$17&amp;"S.25.02.01.05 Rows{Z}@ForceFilingCode:false","")</f>
        <v/>
      </c>
    </row>
    <row r="1229" spans="1:2">
      <c r="A1229" t="str">
        <f>IF(AND(LEFT('SE.01.01.16'!$D$62,8)&lt;&gt;"Reported",'SE.01.01.16'!$D$62&lt;&gt;""),Show!$B$17 &amp; "S.25.03.01.01 Rows{Z}@ForceFilingCode:false","")</f>
        <v/>
      </c>
      <c r="B1229" t="str">
        <f>IF(AND(LEFT('SE.01.01.16'!$D$62,8)&lt;&gt;"Reported",'SE.01.01.16'!$D$62&lt;&gt;""),Show!$B$17&amp; Show!$B$17&amp;"S.25.03.01.01 Rows{Z}@ForceFilingCode:false","")</f>
        <v/>
      </c>
    </row>
    <row r="1230" spans="1:2">
      <c r="A1230" t="str">
        <f>IF(AND(LEFT('SE.01.01.16'!$D$62,8)&lt;&gt;"Reported",'SE.01.01.16'!$D$62&lt;&gt;""),Show!$B$17 &amp; "S.25.03.01.02 Rows{Z}@ForceFilingCode:false","")</f>
        <v/>
      </c>
      <c r="B1230" t="str">
        <f>IF(AND(LEFT('SE.01.01.16'!$D$62,8)&lt;&gt;"Reported",'SE.01.01.16'!$D$62&lt;&gt;""),Show!$B$17&amp; Show!$B$17&amp;"S.25.03.01.02 Rows{Z}@ForceFilingCode:false","")</f>
        <v/>
      </c>
    </row>
    <row r="1231" spans="1:2">
      <c r="A1231" t="str">
        <f>IF(AND(LEFT('SE.01.01.16'!$D$62,8)&lt;&gt;"Reported",'SE.01.01.16'!$D$62&lt;&gt;""),Show!$B$17 &amp; "S.25.03.01.03 Rows{Z}@ForceFilingCode:false","")</f>
        <v/>
      </c>
      <c r="B1231" t="str">
        <f>IF(AND(LEFT('SE.01.01.16'!$D$62,8)&lt;&gt;"Reported",'SE.01.01.16'!$D$62&lt;&gt;""),Show!$B$17&amp; Show!$B$17&amp;"S.25.03.01.03 Rows{Z}@ForceFilingCode:false","")</f>
        <v/>
      </c>
    </row>
    <row r="1232" spans="1:2">
      <c r="A1232" t="str">
        <f>IF(AND(LEFT('SE.01.01.16'!$D$62,8)&lt;&gt;"Reported",'SE.01.01.16'!$D$62&lt;&gt;""),Show!$B$17 &amp; "S.25.03.01.04 Rows{Z}@ForceFilingCode:false","")</f>
        <v/>
      </c>
      <c r="B1232" t="str">
        <f>IF(AND(LEFT('SE.01.01.16'!$D$62,8)&lt;&gt;"Reported",'SE.01.01.16'!$D$62&lt;&gt;""),Show!$B$17&amp; Show!$B$17&amp;"S.25.03.01.04 Rows{Z}@ForceFilingCode:false","")</f>
        <v/>
      </c>
    </row>
    <row r="1233" spans="1:2">
      <c r="A1233" t="str">
        <f>IF(AND(LEFT('SE.01.01.16'!$D$62,8)&lt;&gt;"Reported",'SE.01.01.16'!$D$62&lt;&gt;""),Show!$B$17 &amp; "S.25.03.01.05 Rows{Z}@ForceFilingCode:false","")</f>
        <v/>
      </c>
      <c r="B1233" t="str">
        <f>IF(AND(LEFT('SE.01.01.16'!$D$62,8)&lt;&gt;"Reported",'SE.01.01.16'!$D$62&lt;&gt;""),Show!$B$17&amp; Show!$B$17&amp;"S.25.03.01.05 Rows{Z}@ForceFilingCode:false","")</f>
        <v/>
      </c>
    </row>
    <row r="1234" spans="1:2">
      <c r="A1234" t="str">
        <f>IF(AND(LEFT('SE.01.01.16'!$D$63,8)&lt;&gt;"Reported",'SE.01.01.16'!$D$63&lt;&gt;""),Show!$B$17 &amp; "S.26.01.01.01 Rows{Z}@ForceFilingCode:false","")</f>
        <v/>
      </c>
      <c r="B1234" t="str">
        <f>IF(AND(LEFT('SE.01.01.16'!$D$63,8)&lt;&gt;"Reported",'SE.01.01.16'!$D$63&lt;&gt;""),Show!$B$17&amp; Show!$B$17&amp;"S.26.01.01.01 Rows{Z}@ForceFilingCode:false","")</f>
        <v/>
      </c>
    </row>
    <row r="1235" spans="1:2">
      <c r="A1235" t="str">
        <f>IF(AND(LEFT('SE.01.01.16'!$D$63,8)&lt;&gt;"Reported",'SE.01.01.16'!$D$63&lt;&gt;""),Show!$B$17 &amp; "S.26.01.01.02 Rows{Z}@ForceFilingCode:false","")</f>
        <v/>
      </c>
      <c r="B1235" t="str">
        <f>IF(AND(LEFT('SE.01.01.16'!$D$63,8)&lt;&gt;"Reported",'SE.01.01.16'!$D$63&lt;&gt;""),Show!$B$17&amp; Show!$B$17&amp;"S.26.01.01.02 Rows{Z}@ForceFilingCode:false","")</f>
        <v/>
      </c>
    </row>
    <row r="1236" spans="1:2">
      <c r="A1236" t="str">
        <f>IF(AND(LEFT('SE.01.01.16'!$D$63,8)&lt;&gt;"Reported",'SE.01.01.16'!$D$63&lt;&gt;""),Show!$B$17 &amp; "S.26.01.01.03 Rows{Z}@ForceFilingCode:false","")</f>
        <v/>
      </c>
      <c r="B1236" t="str">
        <f>IF(AND(LEFT('SE.01.01.16'!$D$63,8)&lt;&gt;"Reported",'SE.01.01.16'!$D$63&lt;&gt;""),Show!$B$17&amp; Show!$B$17&amp;"S.26.01.01.03 Rows{Z}@ForceFilingCode:false","")</f>
        <v/>
      </c>
    </row>
    <row r="1237" spans="1:2">
      <c r="A1237" t="str">
        <f>IF(AND(LEFT('SE.01.01.16'!$D$64,8)&lt;&gt;"Reported",'SE.01.01.16'!$D$64&lt;&gt;""),Show!$B$17 &amp; "S.26.02.01.01 Rows{Z}@ForceFilingCode:false","")</f>
        <v/>
      </c>
      <c r="B1237" t="str">
        <f>IF(AND(LEFT('SE.01.01.16'!$D$64,8)&lt;&gt;"Reported",'SE.01.01.16'!$D$64&lt;&gt;""),Show!$B$17&amp; Show!$B$17&amp;"S.26.02.01.01 Rows{Z}@ForceFilingCode:false","")</f>
        <v/>
      </c>
    </row>
    <row r="1238" spans="1:2">
      <c r="A1238" t="str">
        <f>IF(AND(LEFT('SE.01.01.16'!$D$64,8)&lt;&gt;"Reported",'SE.01.01.16'!$D$64&lt;&gt;""),Show!$B$17 &amp; "S.26.02.01.02 Rows{Z}@ForceFilingCode:false","")</f>
        <v/>
      </c>
      <c r="B1238" t="str">
        <f>IF(AND(LEFT('SE.01.01.16'!$D$64,8)&lt;&gt;"Reported",'SE.01.01.16'!$D$64&lt;&gt;""),Show!$B$17&amp; Show!$B$17&amp;"S.26.02.01.02 Rows{Z}@ForceFilingCode:false","")</f>
        <v/>
      </c>
    </row>
    <row r="1239" spans="1:2">
      <c r="A1239" t="str">
        <f>IF(AND(LEFT('SE.01.01.16'!$D$64,8)&lt;&gt;"Reported",'SE.01.01.16'!$D$64&lt;&gt;""),Show!$B$17 &amp; "S.26.02.01.03 Rows{Z}@ForceFilingCode:false","")</f>
        <v/>
      </c>
      <c r="B1239" t="str">
        <f>IF(AND(LEFT('SE.01.01.16'!$D$64,8)&lt;&gt;"Reported",'SE.01.01.16'!$D$64&lt;&gt;""),Show!$B$17&amp; Show!$B$17&amp;"S.26.02.01.03 Rows{Z}@ForceFilingCode:false","")</f>
        <v/>
      </c>
    </row>
    <row r="1240" spans="1:2">
      <c r="A1240" t="str">
        <f>IF(AND(LEFT('SE.01.01.16'!$D$65,8)&lt;&gt;"Reported",'SE.01.01.16'!$D$65&lt;&gt;""),Show!$B$17 &amp; "S.26.03.01.01 Rows{Z}@ForceFilingCode:false","")</f>
        <v/>
      </c>
      <c r="B1240" t="str">
        <f>IF(AND(LEFT('SE.01.01.16'!$D$65,8)&lt;&gt;"Reported",'SE.01.01.16'!$D$65&lt;&gt;""),Show!$B$17&amp; Show!$B$17&amp;"S.26.03.01.01 Rows{Z}@ForceFilingCode:false","")</f>
        <v/>
      </c>
    </row>
    <row r="1241" spans="1:2">
      <c r="A1241" t="str">
        <f>IF(AND(LEFT('SE.01.01.16'!$D$65,8)&lt;&gt;"Reported",'SE.01.01.16'!$D$65&lt;&gt;""),Show!$B$17 &amp; "S.26.03.01.02 Rows{Z}@ForceFilingCode:false","")</f>
        <v/>
      </c>
      <c r="B1241" t="str">
        <f>IF(AND(LEFT('SE.01.01.16'!$D$65,8)&lt;&gt;"Reported",'SE.01.01.16'!$D$65&lt;&gt;""),Show!$B$17&amp; Show!$B$17&amp;"S.26.03.01.02 Rows{Z}@ForceFilingCode:false","")</f>
        <v/>
      </c>
    </row>
    <row r="1242" spans="1:2">
      <c r="A1242" t="str">
        <f>IF(AND(LEFT('SE.01.01.16'!$D$65,8)&lt;&gt;"Reported",'SE.01.01.16'!$D$65&lt;&gt;""),Show!$B$17 &amp; "S.26.03.01.03 Rows{Z}@ForceFilingCode:false","")</f>
        <v/>
      </c>
      <c r="B1242" t="str">
        <f>IF(AND(LEFT('SE.01.01.16'!$D$65,8)&lt;&gt;"Reported",'SE.01.01.16'!$D$65&lt;&gt;""),Show!$B$17&amp; Show!$B$17&amp;"S.26.03.01.03 Rows{Z}@ForceFilingCode:false","")</f>
        <v/>
      </c>
    </row>
    <row r="1243" spans="1:2">
      <c r="A1243" t="str">
        <f>IF(AND(LEFT('SE.01.01.16'!$D$65,8)&lt;&gt;"Reported",'SE.01.01.16'!$D$65&lt;&gt;""),Show!$B$17 &amp; "S.26.03.01.04 Rows{Z}@ForceFilingCode:false","")</f>
        <v/>
      </c>
      <c r="B1243" t="str">
        <f>IF(AND(LEFT('SE.01.01.16'!$D$65,8)&lt;&gt;"Reported",'SE.01.01.16'!$D$65&lt;&gt;""),Show!$B$17&amp; Show!$B$17&amp;"S.26.03.01.04 Rows{Z}@ForceFilingCode:false","")</f>
        <v/>
      </c>
    </row>
    <row r="1244" spans="1:2">
      <c r="A1244" t="str">
        <f>IF(AND(LEFT('SE.01.01.16'!$D$66,8)&lt;&gt;"Reported",'SE.01.01.16'!$D$66&lt;&gt;""),Show!$B$17 &amp; "S.26.04.01.01 Rows{Z}@ForceFilingCode:false","")</f>
        <v/>
      </c>
      <c r="B1244" t="str">
        <f>IF(AND(LEFT('SE.01.01.16'!$D$66,8)&lt;&gt;"Reported",'SE.01.01.16'!$D$66&lt;&gt;""),Show!$B$17&amp; Show!$B$17&amp;"S.26.04.01.01 Rows{Z}@ForceFilingCode:false","")</f>
        <v/>
      </c>
    </row>
    <row r="1245" spans="1:2">
      <c r="A1245" t="str">
        <f>IF(AND(LEFT('SE.01.01.16'!$D$66,8)&lt;&gt;"Reported",'SE.01.01.16'!$D$66&lt;&gt;""),Show!$B$17 &amp; "S.26.04.01.02 Rows{Z}@ForceFilingCode:false","")</f>
        <v/>
      </c>
      <c r="B1245" t="str">
        <f>IF(AND(LEFT('SE.01.01.16'!$D$66,8)&lt;&gt;"Reported",'SE.01.01.16'!$D$66&lt;&gt;""),Show!$B$17&amp; Show!$B$17&amp;"S.26.04.01.02 Rows{Z}@ForceFilingCode:false","")</f>
        <v/>
      </c>
    </row>
    <row r="1246" spans="1:2">
      <c r="A1246" t="str">
        <f>IF(AND(LEFT('SE.01.01.16'!$D$66,8)&lt;&gt;"Reported",'SE.01.01.16'!$D$66&lt;&gt;""),Show!$B$17 &amp; "S.26.04.01.03 Rows{Z}@ForceFilingCode:false","")</f>
        <v/>
      </c>
      <c r="B1246" t="str">
        <f>IF(AND(LEFT('SE.01.01.16'!$D$66,8)&lt;&gt;"Reported",'SE.01.01.16'!$D$66&lt;&gt;""),Show!$B$17&amp; Show!$B$17&amp;"S.26.04.01.03 Rows{Z}@ForceFilingCode:false","")</f>
        <v/>
      </c>
    </row>
    <row r="1247" spans="1:2">
      <c r="A1247" t="str">
        <f>IF(AND(LEFT('SE.01.01.16'!$D$66,8)&lt;&gt;"Reported",'SE.01.01.16'!$D$66&lt;&gt;""),Show!$B$17 &amp; "S.26.04.01.04 Rows{Z}@ForceFilingCode:false","")</f>
        <v/>
      </c>
      <c r="B1247" t="str">
        <f>IF(AND(LEFT('SE.01.01.16'!$D$66,8)&lt;&gt;"Reported",'SE.01.01.16'!$D$66&lt;&gt;""),Show!$B$17&amp; Show!$B$17&amp;"S.26.04.01.04 Rows{Z}@ForceFilingCode:false","")</f>
        <v/>
      </c>
    </row>
    <row r="1248" spans="1:2">
      <c r="A1248" t="str">
        <f>IF(AND(LEFT('SE.01.01.16'!$D$66,8)&lt;&gt;"Reported",'SE.01.01.16'!$D$66&lt;&gt;""),Show!$B$17 &amp; "S.26.04.01.05 Rows{Z}@ForceFilingCode:false","")</f>
        <v/>
      </c>
      <c r="B1248" t="str">
        <f>IF(AND(LEFT('SE.01.01.16'!$D$66,8)&lt;&gt;"Reported",'SE.01.01.16'!$D$66&lt;&gt;""),Show!$B$17&amp; Show!$B$17&amp;"S.26.04.01.05 Rows{Z}@ForceFilingCode:false","")</f>
        <v/>
      </c>
    </row>
    <row r="1249" spans="1:2">
      <c r="A1249" t="str">
        <f>IF(AND(LEFT('SE.01.01.16'!$D$66,8)&lt;&gt;"Reported",'SE.01.01.16'!$D$66&lt;&gt;""),Show!$B$17 &amp; "S.26.04.01.06 Rows{Z}@ForceFilingCode:false","")</f>
        <v/>
      </c>
      <c r="B1249" t="str">
        <f>IF(AND(LEFT('SE.01.01.16'!$D$66,8)&lt;&gt;"Reported",'SE.01.01.16'!$D$66&lt;&gt;""),Show!$B$17&amp; Show!$B$17&amp;"S.26.04.01.06 Rows{Z}@ForceFilingCode:false","")</f>
        <v/>
      </c>
    </row>
    <row r="1250" spans="1:2">
      <c r="A1250" t="str">
        <f>IF(AND(LEFT('SE.01.01.16'!$D$66,8)&lt;&gt;"Reported",'SE.01.01.16'!$D$66&lt;&gt;""),Show!$B$17 &amp; "S.26.04.01.07 Rows{Z}@ForceFilingCode:false","")</f>
        <v/>
      </c>
      <c r="B1250" t="str">
        <f>IF(AND(LEFT('SE.01.01.16'!$D$66,8)&lt;&gt;"Reported",'SE.01.01.16'!$D$66&lt;&gt;""),Show!$B$17&amp; Show!$B$17&amp;"S.26.04.01.07 Rows{Z}@ForceFilingCode:false","")</f>
        <v/>
      </c>
    </row>
    <row r="1251" spans="1:2">
      <c r="A1251" t="str">
        <f>IF(AND(LEFT('SE.01.01.16'!$D$66,8)&lt;&gt;"Reported",'SE.01.01.16'!$D$66&lt;&gt;""),Show!$B$17 &amp; "S.26.04.01.08 Rows{Z}@ForceFilingCode:false","")</f>
        <v/>
      </c>
      <c r="B1251" t="str">
        <f>IF(AND(LEFT('SE.01.01.16'!$D$66,8)&lt;&gt;"Reported",'SE.01.01.16'!$D$66&lt;&gt;""),Show!$B$17&amp; Show!$B$17&amp;"S.26.04.01.08 Rows{Z}@ForceFilingCode:false","")</f>
        <v/>
      </c>
    </row>
    <row r="1252" spans="1:2">
      <c r="A1252" t="str">
        <f>IF(AND(LEFT('SE.01.01.16'!$D$66,8)&lt;&gt;"Reported",'SE.01.01.16'!$D$66&lt;&gt;""),Show!$B$17 &amp; "S.26.04.01.09 Rows{Z}@ForceFilingCode:false","")</f>
        <v/>
      </c>
      <c r="B1252" t="str">
        <f>IF(AND(LEFT('SE.01.01.16'!$D$66,8)&lt;&gt;"Reported",'SE.01.01.16'!$D$66&lt;&gt;""),Show!$B$17&amp; Show!$B$17&amp;"S.26.04.01.09 Rows{Z}@ForceFilingCode:false","")</f>
        <v/>
      </c>
    </row>
    <row r="1253" spans="1:2">
      <c r="A1253" t="str">
        <f>IF(AND(LEFT('SE.01.01.16'!$D$67,8)&lt;&gt;"Reported",'SE.01.01.16'!$D$67&lt;&gt;""),Show!$B$17 &amp; "S.26.05.01.01 Rows{Z}@ForceFilingCode:false","")</f>
        <v/>
      </c>
      <c r="B1253" t="str">
        <f>IF(AND(LEFT('SE.01.01.16'!$D$67,8)&lt;&gt;"Reported",'SE.01.01.16'!$D$67&lt;&gt;""),Show!$B$17&amp; Show!$B$17&amp;"S.26.05.01.01 Rows{Z}@ForceFilingCode:false","")</f>
        <v/>
      </c>
    </row>
    <row r="1254" spans="1:2">
      <c r="A1254" t="str">
        <f>IF(AND(LEFT('SE.01.01.16'!$D$67,8)&lt;&gt;"Reported",'SE.01.01.16'!$D$67&lt;&gt;""),Show!$B$17 &amp; "S.26.05.01.02 Rows{Z}@ForceFilingCode:false","")</f>
        <v/>
      </c>
      <c r="B1254" t="str">
        <f>IF(AND(LEFT('SE.01.01.16'!$D$67,8)&lt;&gt;"Reported",'SE.01.01.16'!$D$67&lt;&gt;""),Show!$B$17&amp; Show!$B$17&amp;"S.26.05.01.02 Rows{Z}@ForceFilingCode:false","")</f>
        <v/>
      </c>
    </row>
    <row r="1255" spans="1:2">
      <c r="A1255" t="str">
        <f>IF(AND(LEFT('SE.01.01.16'!$D$67,8)&lt;&gt;"Reported",'SE.01.01.16'!$D$67&lt;&gt;""),Show!$B$17 &amp; "S.26.05.01.03 Rows{Z}@ForceFilingCode:false","")</f>
        <v/>
      </c>
      <c r="B1255" t="str">
        <f>IF(AND(LEFT('SE.01.01.16'!$D$67,8)&lt;&gt;"Reported",'SE.01.01.16'!$D$67&lt;&gt;""),Show!$B$17&amp; Show!$B$17&amp;"S.26.05.01.03 Rows{Z}@ForceFilingCode:false","")</f>
        <v/>
      </c>
    </row>
    <row r="1256" spans="1:2">
      <c r="A1256" t="str">
        <f>IF(AND(LEFT('SE.01.01.16'!$D$67,8)&lt;&gt;"Reported",'SE.01.01.16'!$D$67&lt;&gt;""),Show!$B$17 &amp; "S.26.05.01.04 Rows{Z}@ForceFilingCode:false","")</f>
        <v/>
      </c>
      <c r="B1256" t="str">
        <f>IF(AND(LEFT('SE.01.01.16'!$D$67,8)&lt;&gt;"Reported",'SE.01.01.16'!$D$67&lt;&gt;""),Show!$B$17&amp; Show!$B$17&amp;"S.26.05.01.04 Rows{Z}@ForceFilingCode:false","")</f>
        <v/>
      </c>
    </row>
    <row r="1257" spans="1:2">
      <c r="A1257" t="str">
        <f>IF(AND(LEFT('SE.01.01.16'!$D$67,8)&lt;&gt;"Reported",'SE.01.01.16'!$D$67&lt;&gt;""),Show!$B$17 &amp; "S.26.05.01.05 Rows{Z}@ForceFilingCode:false","")</f>
        <v/>
      </c>
      <c r="B1257" t="str">
        <f>IF(AND(LEFT('SE.01.01.16'!$D$67,8)&lt;&gt;"Reported",'SE.01.01.16'!$D$67&lt;&gt;""),Show!$B$17&amp; Show!$B$17&amp;"S.26.05.01.05 Rows{Z}@ForceFilingCode:false","")</f>
        <v/>
      </c>
    </row>
    <row r="1258" spans="1:2">
      <c r="A1258" t="str">
        <f>IF(AND(LEFT('SE.01.01.16'!$D$68,8)&lt;&gt;"Reported",'SE.01.01.16'!$D$68&lt;&gt;""),Show!$B$17 &amp; "S.26.06.01.01 Rows{Z}@ForceFilingCode:false","")</f>
        <v/>
      </c>
      <c r="B1258" t="str">
        <f>IF(AND(LEFT('SE.01.01.16'!$D$68,8)&lt;&gt;"Reported",'SE.01.01.16'!$D$68&lt;&gt;""),Show!$B$17&amp; Show!$B$17&amp;"S.26.06.01.01 Rows{Z}@ForceFilingCode:false","")</f>
        <v/>
      </c>
    </row>
    <row r="1259" spans="1:2">
      <c r="A1259" t="str">
        <f>IF(AND(LEFT('SE.01.01.16'!$D$69,8)&lt;&gt;"Reported",'SE.01.01.16'!$D$69&lt;&gt;""),Show!$B$17 &amp; "S.26.07.01.01 Rows{Z}@ForceFilingCode:false","")</f>
        <v/>
      </c>
      <c r="B1259" t="str">
        <f>IF(AND(LEFT('SE.01.01.16'!$D$69,8)&lt;&gt;"Reported",'SE.01.01.16'!$D$69&lt;&gt;""),Show!$B$17&amp; Show!$B$17&amp;"S.26.07.01.01 Rows{Z}@ForceFilingCode:false","")</f>
        <v/>
      </c>
    </row>
    <row r="1260" spans="1:2">
      <c r="A1260" t="str">
        <f>IF(AND(LEFT('SE.01.01.16'!$D$69,8)&lt;&gt;"Reported",'SE.01.01.16'!$D$69&lt;&gt;""),Show!$B$17 &amp; "S.26.07.01.02 Rows{Z}@ForceFilingCode:false","")</f>
        <v/>
      </c>
      <c r="B1260" t="str">
        <f>IF(AND(LEFT('SE.01.01.16'!$D$69,8)&lt;&gt;"Reported",'SE.01.01.16'!$D$69&lt;&gt;""),Show!$B$17&amp; Show!$B$17&amp;"S.26.07.01.02 Rows{Z}@ForceFilingCode:false","")</f>
        <v/>
      </c>
    </row>
    <row r="1261" spans="1:2">
      <c r="A1261" t="str">
        <f>IF(AND(LEFT('SE.01.01.16'!$D$69,8)&lt;&gt;"Reported",'SE.01.01.16'!$D$69&lt;&gt;""),Show!$B$17 &amp; "S.26.07.01.03 Rows{Z}@ForceFilingCode:false","")</f>
        <v/>
      </c>
      <c r="B1261" t="str">
        <f>IF(AND(LEFT('SE.01.01.16'!$D$69,8)&lt;&gt;"Reported",'SE.01.01.16'!$D$69&lt;&gt;""),Show!$B$17&amp; Show!$B$17&amp;"S.26.07.01.03 Rows{Z}@ForceFilingCode:false","")</f>
        <v/>
      </c>
    </row>
    <row r="1262" spans="1:2">
      <c r="A1262" t="str">
        <f>IF(AND(LEFT('SE.01.01.16'!$D$69,8)&lt;&gt;"Reported",'SE.01.01.16'!$D$69&lt;&gt;""),Show!$B$17 &amp; "S.26.07.01.04 Rows{Z}@ForceFilingCode:false","")</f>
        <v/>
      </c>
      <c r="B1262" t="str">
        <f>IF(AND(LEFT('SE.01.01.16'!$D$69,8)&lt;&gt;"Reported",'SE.01.01.16'!$D$69&lt;&gt;""),Show!$B$17&amp; Show!$B$17&amp;"S.26.07.01.04 Rows{Z}@ForceFilingCode:false","")</f>
        <v/>
      </c>
    </row>
    <row r="1263" spans="1:2">
      <c r="A1263" t="str">
        <f>IF(AND(LEFT('SE.01.01.16'!$D$69,8)&lt;&gt;"Reported",'SE.01.01.16'!$D$69&lt;&gt;""),Show!$B$17 &amp; "S.26.07.01.05 Rows{Z}@ForceFilingCode:false","")</f>
        <v/>
      </c>
      <c r="B1263" t="str">
        <f>IF(AND(LEFT('SE.01.01.16'!$D$69,8)&lt;&gt;"Reported",'SE.01.01.16'!$D$69&lt;&gt;""),Show!$B$17&amp; Show!$B$17&amp;"S.26.07.01.05 Rows{Z}@ForceFilingCode:false","")</f>
        <v/>
      </c>
    </row>
    <row r="1264" spans="1:2">
      <c r="A1264" t="str">
        <f>IF(AND(LEFT('SE.01.01.16'!$D$69,8)&lt;&gt;"Reported",'SE.01.01.16'!$D$69&lt;&gt;""),Show!$B$17 &amp; "S.26.07.01.06 Rows{Z}@ForceFilingCode:false","")</f>
        <v/>
      </c>
      <c r="B1264" t="str">
        <f>IF(AND(LEFT('SE.01.01.16'!$D$69,8)&lt;&gt;"Reported",'SE.01.01.16'!$D$69&lt;&gt;""),Show!$B$17&amp; Show!$B$17&amp;"S.26.07.01.06 Rows{Z}@ForceFilingCode:false","")</f>
        <v/>
      </c>
    </row>
    <row r="1265" spans="1:2">
      <c r="A1265" t="str">
        <f>IF(AND(LEFT('SE.01.01.16'!$D$70,8)&lt;&gt;"Reported",'SE.01.01.16'!$D$70&lt;&gt;""),Show!$B$17 &amp; "S.27.01.01.01 Rows{Z}@ForceFilingCode:false","")</f>
        <v/>
      </c>
      <c r="B1265" t="str">
        <f>IF(AND(LEFT('SE.01.01.16'!$D$70,8)&lt;&gt;"Reported",'SE.01.01.16'!$D$70&lt;&gt;""),Show!$B$17&amp; Show!$B$17&amp;"S.27.01.01.01 Rows{Z}@ForceFilingCode:false","")</f>
        <v/>
      </c>
    </row>
    <row r="1266" spans="1:2">
      <c r="A1266" t="str">
        <f>IF(AND(LEFT('SE.01.01.16'!$D$70,8)&lt;&gt;"Reported",'SE.01.01.16'!$D$70&lt;&gt;""),Show!$B$17 &amp; "S.27.01.01.02 Rows{Z}@ForceFilingCode:false","")</f>
        <v/>
      </c>
      <c r="B1266" t="str">
        <f>IF(AND(LEFT('SE.01.01.16'!$D$70,8)&lt;&gt;"Reported",'SE.01.01.16'!$D$70&lt;&gt;""),Show!$B$17&amp; Show!$B$17&amp;"S.27.01.01.02 Rows{Z}@ForceFilingCode:false","")</f>
        <v/>
      </c>
    </row>
    <row r="1267" spans="1:2">
      <c r="A1267" t="str">
        <f>IF(AND(LEFT('SE.01.01.16'!$D$70,8)&lt;&gt;"Reported",'SE.01.01.16'!$D$70&lt;&gt;""),Show!$B$17 &amp; "S.27.01.01.03 Rows{Z}@ForceFilingCode:false","")</f>
        <v/>
      </c>
      <c r="B1267" t="str">
        <f>IF(AND(LEFT('SE.01.01.16'!$D$70,8)&lt;&gt;"Reported",'SE.01.01.16'!$D$70&lt;&gt;""),Show!$B$17&amp; Show!$B$17&amp;"S.27.01.01.03 Rows{Z}@ForceFilingCode:false","")</f>
        <v/>
      </c>
    </row>
    <row r="1268" spans="1:2">
      <c r="A1268" t="str">
        <f>IF(AND(LEFT('SE.01.01.16'!$D$70,8)&lt;&gt;"Reported",'SE.01.01.16'!$D$70&lt;&gt;""),Show!$B$17 &amp; "S.27.01.01.04 Rows{Z}@ForceFilingCode:false","")</f>
        <v/>
      </c>
      <c r="B1268" t="str">
        <f>IF(AND(LEFT('SE.01.01.16'!$D$70,8)&lt;&gt;"Reported",'SE.01.01.16'!$D$70&lt;&gt;""),Show!$B$17&amp; Show!$B$17&amp;"S.27.01.01.04 Rows{Z}@ForceFilingCode:false","")</f>
        <v/>
      </c>
    </row>
    <row r="1269" spans="1:2">
      <c r="A1269" t="str">
        <f>IF(AND(LEFT('SE.01.01.16'!$D$70,8)&lt;&gt;"Reported",'SE.01.01.16'!$D$70&lt;&gt;""),Show!$B$17 &amp; "S.27.01.01.05 Rows{Z}@ForceFilingCode:false","")</f>
        <v/>
      </c>
      <c r="B1269" t="str">
        <f>IF(AND(LEFT('SE.01.01.16'!$D$70,8)&lt;&gt;"Reported",'SE.01.01.16'!$D$70&lt;&gt;""),Show!$B$17&amp; Show!$B$17&amp;"S.27.01.01.05 Rows{Z}@ForceFilingCode:false","")</f>
        <v/>
      </c>
    </row>
    <row r="1270" spans="1:2">
      <c r="A1270" t="str">
        <f>IF(AND(LEFT('SE.01.01.16'!$D$70,8)&lt;&gt;"Reported",'SE.01.01.16'!$D$70&lt;&gt;""),Show!$B$17 &amp; "S.27.01.01.06 Rows{Z}@ForceFilingCode:false","")</f>
        <v/>
      </c>
      <c r="B1270" t="str">
        <f>IF(AND(LEFT('SE.01.01.16'!$D$70,8)&lt;&gt;"Reported",'SE.01.01.16'!$D$70&lt;&gt;""),Show!$B$17&amp; Show!$B$17&amp;"S.27.01.01.06 Rows{Z}@ForceFilingCode:false","")</f>
        <v/>
      </c>
    </row>
    <row r="1271" spans="1:2">
      <c r="A1271" t="str">
        <f>IF(AND(LEFT('SE.01.01.16'!$D$70,8)&lt;&gt;"Reported",'SE.01.01.16'!$D$70&lt;&gt;""),Show!$B$17 &amp; "S.27.01.01.07 Rows{Z}@ForceFilingCode:false","")</f>
        <v/>
      </c>
      <c r="B1271" t="str">
        <f>IF(AND(LEFT('SE.01.01.16'!$D$70,8)&lt;&gt;"Reported",'SE.01.01.16'!$D$70&lt;&gt;""),Show!$B$17&amp; Show!$B$17&amp;"S.27.01.01.07 Rows{Z}@ForceFilingCode:false","")</f>
        <v/>
      </c>
    </row>
    <row r="1272" spans="1:2">
      <c r="A1272" t="str">
        <f>IF(AND(LEFT('SE.01.01.16'!$D$70,8)&lt;&gt;"Reported",'SE.01.01.16'!$D$70&lt;&gt;""),Show!$B$17 &amp; "S.27.01.01.08 Rows{Z}@ForceFilingCode:false","")</f>
        <v/>
      </c>
      <c r="B1272" t="str">
        <f>IF(AND(LEFT('SE.01.01.16'!$D$70,8)&lt;&gt;"Reported",'SE.01.01.16'!$D$70&lt;&gt;""),Show!$B$17&amp; Show!$B$17&amp;"S.27.01.01.08 Rows{Z}@ForceFilingCode:false","")</f>
        <v/>
      </c>
    </row>
    <row r="1273" spans="1:2">
      <c r="A1273" t="str">
        <f>IF(AND(LEFT('SE.01.01.16'!$D$70,8)&lt;&gt;"Reported",'SE.01.01.16'!$D$70&lt;&gt;""),Show!$B$17 &amp; "S.27.01.01.09 Rows{Z}@ForceFilingCode:false","")</f>
        <v/>
      </c>
      <c r="B1273" t="str">
        <f>IF(AND(LEFT('SE.01.01.16'!$D$70,8)&lt;&gt;"Reported",'SE.01.01.16'!$D$70&lt;&gt;""),Show!$B$17&amp; Show!$B$17&amp;"S.27.01.01.09 Rows{Z}@ForceFilingCode:false","")</f>
        <v/>
      </c>
    </row>
    <row r="1274" spans="1:2">
      <c r="A1274" t="str">
        <f>IF(AND(LEFT('SE.01.01.16'!$D$70,8)&lt;&gt;"Reported",'SE.01.01.16'!$D$70&lt;&gt;""),Show!$B$17 &amp; "S.27.01.01.10 Rows{Z}@ForceFilingCode:false","")</f>
        <v/>
      </c>
      <c r="B1274" t="str">
        <f>IF(AND(LEFT('SE.01.01.16'!$D$70,8)&lt;&gt;"Reported",'SE.01.01.16'!$D$70&lt;&gt;""),Show!$B$17&amp; Show!$B$17&amp;"S.27.01.01.10 Rows{Z}@ForceFilingCode:false","")</f>
        <v/>
      </c>
    </row>
    <row r="1275" spans="1:2">
      <c r="A1275" t="str">
        <f>IF(AND(LEFT('SE.01.01.16'!$D$70,8)&lt;&gt;"Reported",'SE.01.01.16'!$D$70&lt;&gt;""),Show!$B$17 &amp; "S.27.01.01.11 Rows{Z}@ForceFilingCode:false","")</f>
        <v/>
      </c>
      <c r="B1275" t="str">
        <f>IF(AND(LEFT('SE.01.01.16'!$D$70,8)&lt;&gt;"Reported",'SE.01.01.16'!$D$70&lt;&gt;""),Show!$B$17&amp; Show!$B$17&amp;"S.27.01.01.11 Rows{Z}@ForceFilingCode:false","")</f>
        <v/>
      </c>
    </row>
    <row r="1276" spans="1:2">
      <c r="A1276" t="str">
        <f>IF(AND(LEFT('SE.01.01.16'!$D$70,8)&lt;&gt;"Reported",'SE.01.01.16'!$D$70&lt;&gt;""),Show!$B$17 &amp; "S.27.01.01.12 Rows{Z}@ForceFilingCode:false","")</f>
        <v/>
      </c>
      <c r="B1276" t="str">
        <f>IF(AND(LEFT('SE.01.01.16'!$D$70,8)&lt;&gt;"Reported",'SE.01.01.16'!$D$70&lt;&gt;""),Show!$B$17&amp; Show!$B$17&amp;"S.27.01.01.12 Rows{Z}@ForceFilingCode:false","")</f>
        <v/>
      </c>
    </row>
    <row r="1277" spans="1:2">
      <c r="A1277" t="str">
        <f>IF(AND(LEFT('SE.01.01.16'!$D$70,8)&lt;&gt;"Reported",'SE.01.01.16'!$D$70&lt;&gt;""),Show!$B$17 &amp; "S.27.01.01.13 Rows{Z}@ForceFilingCode:false","")</f>
        <v/>
      </c>
      <c r="B1277" t="str">
        <f>IF(AND(LEFT('SE.01.01.16'!$D$70,8)&lt;&gt;"Reported",'SE.01.01.16'!$D$70&lt;&gt;""),Show!$B$17&amp; Show!$B$17&amp;"S.27.01.01.13 Rows{Z}@ForceFilingCode:false","")</f>
        <v/>
      </c>
    </row>
    <row r="1278" spans="1:2">
      <c r="A1278" t="str">
        <f>IF(AND(LEFT('SE.01.01.16'!$D$70,8)&lt;&gt;"Reported",'SE.01.01.16'!$D$70&lt;&gt;""),Show!$B$17 &amp; "S.27.01.01.14 Rows{Z}@ForceFilingCode:false","")</f>
        <v/>
      </c>
      <c r="B1278" t="str">
        <f>IF(AND(LEFT('SE.01.01.16'!$D$70,8)&lt;&gt;"Reported",'SE.01.01.16'!$D$70&lt;&gt;""),Show!$B$17&amp; Show!$B$17&amp;"S.27.01.01.14 Rows{Z}@ForceFilingCode:false","")</f>
        <v/>
      </c>
    </row>
    <row r="1279" spans="1:2">
      <c r="A1279" t="str">
        <f>IF(AND(LEFT('SE.01.01.16'!$D$70,8)&lt;&gt;"Reported",'SE.01.01.16'!$D$70&lt;&gt;""),Show!$B$17 &amp; "S.27.01.01.15 Rows{Z}@ForceFilingCode:false","")</f>
        <v/>
      </c>
      <c r="B1279" t="str">
        <f>IF(AND(LEFT('SE.01.01.16'!$D$70,8)&lt;&gt;"Reported",'SE.01.01.16'!$D$70&lt;&gt;""),Show!$B$17&amp; Show!$B$17&amp;"S.27.01.01.15 Rows{Z}@ForceFilingCode:false","")</f>
        <v/>
      </c>
    </row>
    <row r="1280" spans="1:2">
      <c r="A1280" t="str">
        <f>IF(AND(LEFT('SE.01.01.16'!$D$70,8)&lt;&gt;"Reported",'SE.01.01.16'!$D$70&lt;&gt;""),Show!$B$17 &amp; "S.27.01.01.16 Rows{Z}@ForceFilingCode:false","")</f>
        <v/>
      </c>
      <c r="B1280" t="str">
        <f>IF(AND(LEFT('SE.01.01.16'!$D$70,8)&lt;&gt;"Reported",'SE.01.01.16'!$D$70&lt;&gt;""),Show!$B$17&amp; Show!$B$17&amp;"S.27.01.01.16 Rows{Z}@ForceFilingCode:false","")</f>
        <v/>
      </c>
    </row>
    <row r="1281" spans="1:2">
      <c r="A1281" t="str">
        <f>IF(AND(LEFT('SE.01.01.16'!$D$70,8)&lt;&gt;"Reported",'SE.01.01.16'!$D$70&lt;&gt;""),Show!$B$17 &amp; "S.27.01.01.17 Rows{Z}@ForceFilingCode:false","")</f>
        <v/>
      </c>
      <c r="B1281" t="str">
        <f>IF(AND(LEFT('SE.01.01.16'!$D$70,8)&lt;&gt;"Reported",'SE.01.01.16'!$D$70&lt;&gt;""),Show!$B$17&amp; Show!$B$17&amp;"S.27.01.01.17 Rows{Z}@ForceFilingCode:false","")</f>
        <v/>
      </c>
    </row>
    <row r="1282" spans="1:2">
      <c r="A1282" t="str">
        <f>IF(AND(LEFT('SE.01.01.16'!$D$70,8)&lt;&gt;"Reported",'SE.01.01.16'!$D$70&lt;&gt;""),Show!$B$17 &amp; "S.27.01.01.18 Rows{Z}@ForceFilingCode:false","")</f>
        <v/>
      </c>
      <c r="B1282" t="str">
        <f>IF(AND(LEFT('SE.01.01.16'!$D$70,8)&lt;&gt;"Reported",'SE.01.01.16'!$D$70&lt;&gt;""),Show!$B$17&amp; Show!$B$17&amp;"S.27.01.01.18 Rows{Z}@ForceFilingCode:false","")</f>
        <v/>
      </c>
    </row>
    <row r="1283" spans="1:2">
      <c r="A1283" t="str">
        <f>IF(AND(LEFT('SE.01.01.16'!$D$70,8)&lt;&gt;"Reported",'SE.01.01.16'!$D$70&lt;&gt;""),Show!$B$17 &amp; "S.27.01.01.19 Rows{Z}@ForceFilingCode:false","")</f>
        <v/>
      </c>
      <c r="B1283" t="str">
        <f>IF(AND(LEFT('SE.01.01.16'!$D$70,8)&lt;&gt;"Reported",'SE.01.01.16'!$D$70&lt;&gt;""),Show!$B$17&amp; Show!$B$17&amp;"S.27.01.01.19 Rows{Z}@ForceFilingCode:false","")</f>
        <v/>
      </c>
    </row>
    <row r="1284" spans="1:2">
      <c r="A1284" t="str">
        <f>IF(AND(LEFT('SE.01.01.16'!$D$70,8)&lt;&gt;"Reported",'SE.01.01.16'!$D$70&lt;&gt;""),Show!$B$17 &amp; "S.27.01.01.20 Rows{Z}@ForceFilingCode:false","")</f>
        <v/>
      </c>
      <c r="B1284" t="str">
        <f>IF(AND(LEFT('SE.01.01.16'!$D$70,8)&lt;&gt;"Reported",'SE.01.01.16'!$D$70&lt;&gt;""),Show!$B$17&amp; Show!$B$17&amp;"S.27.01.01.20 Rows{Z}@ForceFilingCode:false","")</f>
        <v/>
      </c>
    </row>
    <row r="1285" spans="1:2">
      <c r="A1285" t="str">
        <f>IF(AND(LEFT('SE.01.01.16'!$D$70,8)&lt;&gt;"Reported",'SE.01.01.16'!$D$70&lt;&gt;""),Show!$B$17 &amp; "S.27.01.01.21 Rows{Z}@ForceFilingCode:false","")</f>
        <v/>
      </c>
      <c r="B1285" t="str">
        <f>IF(AND(LEFT('SE.01.01.16'!$D$70,8)&lt;&gt;"Reported",'SE.01.01.16'!$D$70&lt;&gt;""),Show!$B$17&amp; Show!$B$17&amp;"S.27.01.01.21 Rows{Z}@ForceFilingCode:false","")</f>
        <v/>
      </c>
    </row>
    <row r="1286" spans="1:2">
      <c r="A1286" t="str">
        <f>IF(AND(LEFT('SE.01.01.16'!$D$70,8)&lt;&gt;"Reported",'SE.01.01.16'!$D$70&lt;&gt;""),Show!$B$17 &amp; "S.27.01.01.22 Rows{Z}@ForceFilingCode:false","")</f>
        <v/>
      </c>
      <c r="B1286" t="str">
        <f>IF(AND(LEFT('SE.01.01.16'!$D$70,8)&lt;&gt;"Reported",'SE.01.01.16'!$D$70&lt;&gt;""),Show!$B$17&amp; Show!$B$17&amp;"S.27.01.01.22 Rows{Z}@ForceFilingCode:false","")</f>
        <v/>
      </c>
    </row>
    <row r="1287" spans="1:2">
      <c r="A1287" t="str">
        <f>IF(AND(LEFT('SE.01.01.16'!$D$70,8)&lt;&gt;"Reported",'SE.01.01.16'!$D$70&lt;&gt;""),Show!$B$17 &amp; "S.27.01.01.23 Rows{Z}@ForceFilingCode:false","")</f>
        <v/>
      </c>
      <c r="B1287" t="str">
        <f>IF(AND(LEFT('SE.01.01.16'!$D$70,8)&lt;&gt;"Reported",'SE.01.01.16'!$D$70&lt;&gt;""),Show!$B$17&amp; Show!$B$17&amp;"S.27.01.01.23 Rows{Z}@ForceFilingCode:false","")</f>
        <v/>
      </c>
    </row>
    <row r="1288" spans="1:2">
      <c r="A1288" t="str">
        <f>IF(AND(LEFT('SE.01.01.16'!$D$70,8)&lt;&gt;"Reported",'SE.01.01.16'!$D$70&lt;&gt;""),Show!$B$17 &amp; "S.27.01.01.24 Rows{Z}@ForceFilingCode:false","")</f>
        <v/>
      </c>
      <c r="B1288" t="str">
        <f>IF(AND(LEFT('SE.01.01.16'!$D$70,8)&lt;&gt;"Reported",'SE.01.01.16'!$D$70&lt;&gt;""),Show!$B$17&amp; Show!$B$17&amp;"S.27.01.01.24 Rows{Z}@ForceFilingCode:false","")</f>
        <v/>
      </c>
    </row>
    <row r="1289" spans="1:2">
      <c r="A1289" t="str">
        <f>IF(AND(LEFT('SE.01.01.16'!$D$70,8)&lt;&gt;"Reported",'SE.01.01.16'!$D$70&lt;&gt;""),Show!$B$17 &amp; "S.27.01.01.25 Rows{Z}@ForceFilingCode:false","")</f>
        <v/>
      </c>
      <c r="B1289" t="str">
        <f>IF(AND(LEFT('SE.01.01.16'!$D$70,8)&lt;&gt;"Reported",'SE.01.01.16'!$D$70&lt;&gt;""),Show!$B$17&amp; Show!$B$17&amp;"S.27.01.01.25 Rows{Z}@ForceFilingCode:false","")</f>
        <v/>
      </c>
    </row>
    <row r="1290" spans="1:2">
      <c r="A1290" t="str">
        <f>IF(AND(LEFT('SE.01.01.16'!$D$70,8)&lt;&gt;"Reported",'SE.01.01.16'!$D$70&lt;&gt;""),Show!$B$17 &amp; "S.27.01.01.26 Rows{Z}@ForceFilingCode:false","")</f>
        <v/>
      </c>
      <c r="B1290" t="str">
        <f>IF(AND(LEFT('SE.01.01.16'!$D$70,8)&lt;&gt;"Reported",'SE.01.01.16'!$D$70&lt;&gt;""),Show!$B$17&amp; Show!$B$17&amp;"S.27.01.01.26 Rows{Z}@ForceFilingCode:false","")</f>
        <v/>
      </c>
    </row>
    <row r="1291" spans="1:2">
      <c r="A1291" t="str">
        <f>IF(AND(LEFT('SE.01.01.16'!$D$70,8)&lt;&gt;"Reported",'SE.01.01.16'!$D$70&lt;&gt;""),Show!$B$17 &amp; "S.27.01.01.27 Rows{Z}@ForceFilingCode:false","")</f>
        <v/>
      </c>
      <c r="B1291" t="str">
        <f>IF(AND(LEFT('SE.01.01.16'!$D$70,8)&lt;&gt;"Reported",'SE.01.01.16'!$D$70&lt;&gt;""),Show!$B$17&amp; Show!$B$17&amp;"S.27.01.01.27 Rows{Z}@ForceFilingCode:false","")</f>
        <v/>
      </c>
    </row>
    <row r="1292" spans="1:2">
      <c r="A1292" t="str">
        <f>IF(AND(LEFT('SE.01.01.16'!$D$70,8)&lt;&gt;"Reported",'SE.01.01.16'!$D$70&lt;&gt;""),Show!$B$17 &amp; "S.27.01.01.28 Rows{Z}@ForceFilingCode:false","")</f>
        <v/>
      </c>
      <c r="B1292" t="str">
        <f>IF(AND(LEFT('SE.01.01.16'!$D$70,8)&lt;&gt;"Reported",'SE.01.01.16'!$D$70&lt;&gt;""),Show!$B$17&amp; Show!$B$17&amp;"S.27.01.01.28 Rows{Z}@ForceFilingCode:false","")</f>
        <v/>
      </c>
    </row>
    <row r="1293" spans="1:2">
      <c r="A1293" t="str">
        <f>IF(AND(LEFT('SE.01.01.16'!$D$71,8)&lt;&gt;"Reported",'SE.01.01.16'!$D$71&lt;&gt;""),Show!$B$17 &amp; "S.28.01.01.01 Rows{Z}@ForceFilingCode:false","")</f>
        <v/>
      </c>
      <c r="B1293" t="str">
        <f>IF(AND(LEFT('SE.01.01.16'!$D$71,8)&lt;&gt;"Reported",'SE.01.01.16'!$D$71&lt;&gt;""),Show!$B$17&amp; Show!$B$17&amp;"S.28.01.01.01 Rows{Z}@ForceFilingCode:false","")</f>
        <v/>
      </c>
    </row>
    <row r="1294" spans="1:2">
      <c r="A1294" t="str">
        <f>IF(AND(LEFT('SE.01.01.16'!$D$71,8)&lt;&gt;"Reported",'SE.01.01.16'!$D$71&lt;&gt;""),Show!$B$17 &amp; "S.28.01.01.02 Rows{Z}@ForceFilingCode:false","")</f>
        <v/>
      </c>
      <c r="B1294" t="str">
        <f>IF(AND(LEFT('SE.01.01.16'!$D$71,8)&lt;&gt;"Reported",'SE.01.01.16'!$D$71&lt;&gt;""),Show!$B$17&amp; Show!$B$17&amp;"S.28.01.01.02 Rows{Z}@ForceFilingCode:false","")</f>
        <v/>
      </c>
    </row>
    <row r="1295" spans="1:2">
      <c r="A1295" t="str">
        <f>IF(AND(LEFT('SE.01.01.16'!$D$71,8)&lt;&gt;"Reported",'SE.01.01.16'!$D$71&lt;&gt;""),Show!$B$17 &amp; "S.28.01.01.03 Rows{Z}@ForceFilingCode:false","")</f>
        <v/>
      </c>
      <c r="B1295" t="str">
        <f>IF(AND(LEFT('SE.01.01.16'!$D$71,8)&lt;&gt;"Reported",'SE.01.01.16'!$D$71&lt;&gt;""),Show!$B$17&amp; Show!$B$17&amp;"S.28.01.01.03 Rows{Z}@ForceFilingCode:false","")</f>
        <v/>
      </c>
    </row>
    <row r="1296" spans="1:2">
      <c r="A1296" t="str">
        <f>IF(AND(LEFT('SE.01.01.16'!$D$71,8)&lt;&gt;"Reported",'SE.01.01.16'!$D$71&lt;&gt;""),Show!$B$17 &amp; "S.28.01.01.04 Rows{Z}@ForceFilingCode:false","")</f>
        <v/>
      </c>
      <c r="B1296" t="str">
        <f>IF(AND(LEFT('SE.01.01.16'!$D$71,8)&lt;&gt;"Reported",'SE.01.01.16'!$D$71&lt;&gt;""),Show!$B$17&amp; Show!$B$17&amp;"S.28.01.01.04 Rows{Z}@ForceFilingCode:false","")</f>
        <v/>
      </c>
    </row>
    <row r="1297" spans="1:2">
      <c r="A1297" t="str">
        <f>IF(AND(LEFT('SE.01.01.16'!$D$71,8)&lt;&gt;"Reported",'SE.01.01.16'!$D$71&lt;&gt;""),Show!$B$17 &amp; "S.28.01.01.05 Rows{Z}@ForceFilingCode:false","")</f>
        <v/>
      </c>
      <c r="B1297" t="str">
        <f>IF(AND(LEFT('SE.01.01.16'!$D$71,8)&lt;&gt;"Reported",'SE.01.01.16'!$D$71&lt;&gt;""),Show!$B$17&amp; Show!$B$17&amp;"S.28.01.01.05 Rows{Z}@ForceFilingCode:false","")</f>
        <v/>
      </c>
    </row>
    <row r="1298" spans="1:2">
      <c r="A1298" t="str">
        <f>IF(AND(LEFT('SE.01.01.16'!$D$72,8)&lt;&gt;"Reported",'SE.01.01.16'!$D$72&lt;&gt;""),Show!$B$17 &amp; "S.28.02.01.01 Rows{Z}@ForceFilingCode:false","")</f>
        <v/>
      </c>
      <c r="B1298" t="str">
        <f>IF(AND(LEFT('SE.01.01.16'!$D$72,8)&lt;&gt;"Reported",'SE.01.01.16'!$D$72&lt;&gt;""),Show!$B$17&amp; Show!$B$17&amp;"S.28.02.01.01 Rows{Z}@ForceFilingCode:false","")</f>
        <v/>
      </c>
    </row>
    <row r="1299" spans="1:2">
      <c r="A1299" t="str">
        <f>IF(AND(LEFT('SE.01.01.16'!$D$72,8)&lt;&gt;"Reported",'SE.01.01.16'!$D$72&lt;&gt;""),Show!$B$17 &amp; "S.28.02.01.02 Rows{Z}@ForceFilingCode:false","")</f>
        <v/>
      </c>
      <c r="B1299" t="str">
        <f>IF(AND(LEFT('SE.01.01.16'!$D$72,8)&lt;&gt;"Reported",'SE.01.01.16'!$D$72&lt;&gt;""),Show!$B$17&amp; Show!$B$17&amp;"S.28.02.01.02 Rows{Z}@ForceFilingCode:false","")</f>
        <v/>
      </c>
    </row>
    <row r="1300" spans="1:2">
      <c r="A1300" t="str">
        <f>IF(AND(LEFT('SE.01.01.16'!$D$72,8)&lt;&gt;"Reported",'SE.01.01.16'!$D$72&lt;&gt;""),Show!$B$17 &amp; "S.28.02.01.03 Rows{Z}@ForceFilingCode:false","")</f>
        <v/>
      </c>
      <c r="B1300" t="str">
        <f>IF(AND(LEFT('SE.01.01.16'!$D$72,8)&lt;&gt;"Reported",'SE.01.01.16'!$D$72&lt;&gt;""),Show!$B$17&amp; Show!$B$17&amp;"S.28.02.01.03 Rows{Z}@ForceFilingCode:false","")</f>
        <v/>
      </c>
    </row>
    <row r="1301" spans="1:2">
      <c r="A1301" t="str">
        <f>IF(AND(LEFT('SE.01.01.16'!$D$72,8)&lt;&gt;"Reported",'SE.01.01.16'!$D$72&lt;&gt;""),Show!$B$17 &amp; "S.28.02.01.04 Rows{Z}@ForceFilingCode:false","")</f>
        <v/>
      </c>
      <c r="B1301" t="str">
        <f>IF(AND(LEFT('SE.01.01.16'!$D$72,8)&lt;&gt;"Reported",'SE.01.01.16'!$D$72&lt;&gt;""),Show!$B$17&amp; Show!$B$17&amp;"S.28.02.01.04 Rows{Z}@ForceFilingCode:false","")</f>
        <v/>
      </c>
    </row>
    <row r="1302" spans="1:2">
      <c r="A1302" t="str">
        <f>IF(AND(LEFT('SE.01.01.16'!$D$72,8)&lt;&gt;"Reported",'SE.01.01.16'!$D$72&lt;&gt;""),Show!$B$17 &amp; "S.28.02.01.05 Rows{Z}@ForceFilingCode:false","")</f>
        <v/>
      </c>
      <c r="B1302" t="str">
        <f>IF(AND(LEFT('SE.01.01.16'!$D$72,8)&lt;&gt;"Reported",'SE.01.01.16'!$D$72&lt;&gt;""),Show!$B$17&amp; Show!$B$17&amp;"S.28.02.01.05 Rows{Z}@ForceFilingCode:false","")</f>
        <v/>
      </c>
    </row>
    <row r="1303" spans="1:2">
      <c r="A1303" t="str">
        <f>IF(AND(LEFT('SE.01.01.16'!$D$72,8)&lt;&gt;"Reported",'SE.01.01.16'!$D$72&lt;&gt;""),Show!$B$17 &amp; "S.28.02.01.06 Rows{Z}@ForceFilingCode:false","")</f>
        <v/>
      </c>
      <c r="B1303" t="str">
        <f>IF(AND(LEFT('SE.01.01.16'!$D$72,8)&lt;&gt;"Reported",'SE.01.01.16'!$D$72&lt;&gt;""),Show!$B$17&amp; Show!$B$17&amp;"S.28.02.01.06 Rows{Z}@ForceFilingCode:false","")</f>
        <v/>
      </c>
    </row>
    <row r="1304" spans="1:2">
      <c r="A1304" t="str">
        <f>IF(AND(LEFT('SE.01.01.16'!$D$73,8)&lt;&gt;"Reported",'SE.01.01.16'!$D$73&lt;&gt;""),Show!$B$17 &amp; "S.29.01.01.01 Rows{Z}@ForceFilingCode:false","")</f>
        <v/>
      </c>
      <c r="B1304" t="str">
        <f>IF(AND(LEFT('SE.01.01.16'!$D$73,8)&lt;&gt;"Reported",'SE.01.01.16'!$D$73&lt;&gt;""),Show!$B$17&amp; Show!$B$17&amp;"S.29.01.01.01 Rows{Z}@ForceFilingCode:false","")</f>
        <v/>
      </c>
    </row>
    <row r="1305" spans="1:2">
      <c r="A1305" t="str">
        <f>IF(AND(LEFT('SE.01.01.16'!$D$73,8)&lt;&gt;"Reported",'SE.01.01.16'!$D$73&lt;&gt;""),Show!$B$17 &amp; "S.29.01.01.02 Rows{Z}@ForceFilingCode:false","")</f>
        <v/>
      </c>
      <c r="B1305" t="str">
        <f>IF(AND(LEFT('SE.01.01.16'!$D$73,8)&lt;&gt;"Reported",'SE.01.01.16'!$D$73&lt;&gt;""),Show!$B$17&amp; Show!$B$17&amp;"S.29.01.01.02 Rows{Z}@ForceFilingCode:false","")</f>
        <v/>
      </c>
    </row>
    <row r="1306" spans="1:2">
      <c r="A1306" t="str">
        <f>IF(AND(LEFT('SE.01.01.16'!$D$74,8)&lt;&gt;"Reported",'SE.01.01.16'!$D$74&lt;&gt;""),Show!$B$17 &amp; "S.29.02.01.01 Rows{Z}@ForceFilingCode:false","")</f>
        <v/>
      </c>
      <c r="B1306" t="str">
        <f>IF(AND(LEFT('SE.01.01.16'!$D$74,8)&lt;&gt;"Reported",'SE.01.01.16'!$D$74&lt;&gt;""),Show!$B$17&amp; Show!$B$17&amp;"S.29.02.01.01 Rows{Z}@ForceFilingCode:false","")</f>
        <v/>
      </c>
    </row>
    <row r="1307" spans="1:2">
      <c r="A1307" t="str">
        <f>IF(AND(LEFT('SE.01.01.16'!$D$75,8)&lt;&gt;"Reported",'SE.01.01.16'!$D$75&lt;&gt;""),Show!$B$17 &amp; "S.29.03.01.01 Rows{Z}@ForceFilingCode:false","")</f>
        <v/>
      </c>
      <c r="B1307" t="str">
        <f>IF(AND(LEFT('SE.01.01.16'!$D$75,8)&lt;&gt;"Reported",'SE.01.01.16'!$D$75&lt;&gt;""),Show!$B$17&amp; Show!$B$17&amp;"S.29.03.01.01 Rows{Z}@ForceFilingCode:false","")</f>
        <v/>
      </c>
    </row>
    <row r="1308" spans="1:2">
      <c r="A1308" t="str">
        <f>IF(AND(LEFT('SE.01.01.16'!$D$75,8)&lt;&gt;"Reported",'SE.01.01.16'!$D$75&lt;&gt;""),Show!$B$17 &amp; "S.29.03.01.02 Rows{Z}@ForceFilingCode:false","")</f>
        <v/>
      </c>
      <c r="B1308" t="str">
        <f>IF(AND(LEFT('SE.01.01.16'!$D$75,8)&lt;&gt;"Reported",'SE.01.01.16'!$D$75&lt;&gt;""),Show!$B$17&amp; Show!$B$17&amp;"S.29.03.01.02 Rows{Z}@ForceFilingCode:false","")</f>
        <v/>
      </c>
    </row>
    <row r="1309" spans="1:2">
      <c r="A1309" t="str">
        <f>IF(AND(LEFT('SE.01.01.16'!$D$75,8)&lt;&gt;"Reported",'SE.01.01.16'!$D$75&lt;&gt;""),Show!$B$17 &amp; "S.29.03.01.03 Rows{Z}@ForceFilingCode:false","")</f>
        <v/>
      </c>
      <c r="B1309" t="str">
        <f>IF(AND(LEFT('SE.01.01.16'!$D$75,8)&lt;&gt;"Reported",'SE.01.01.16'!$D$75&lt;&gt;""),Show!$B$17&amp; Show!$B$17&amp;"S.29.03.01.03 Rows{Z}@ForceFilingCode:false","")</f>
        <v/>
      </c>
    </row>
    <row r="1310" spans="1:2">
      <c r="A1310" t="str">
        <f>IF(AND(LEFT('SE.01.01.16'!$D$75,8)&lt;&gt;"Reported",'SE.01.01.16'!$D$75&lt;&gt;""),Show!$B$17 &amp; "S.29.03.01.04 Rows{Z}@ForceFilingCode:false","")</f>
        <v/>
      </c>
      <c r="B1310" t="str">
        <f>IF(AND(LEFT('SE.01.01.16'!$D$75,8)&lt;&gt;"Reported",'SE.01.01.16'!$D$75&lt;&gt;""),Show!$B$17&amp; Show!$B$17&amp;"S.29.03.01.04 Rows{Z}@ForceFilingCode:false","")</f>
        <v/>
      </c>
    </row>
    <row r="1311" spans="1:2">
      <c r="A1311" t="str">
        <f>IF(AND(LEFT('SE.01.01.16'!$D$75,8)&lt;&gt;"Reported",'SE.01.01.16'!$D$75&lt;&gt;""),Show!$B$17 &amp; "S.29.03.01.05 Rows{Z}@ForceFilingCode:false","")</f>
        <v/>
      </c>
      <c r="B1311" t="str">
        <f>IF(AND(LEFT('SE.01.01.16'!$D$75,8)&lt;&gt;"Reported",'SE.01.01.16'!$D$75&lt;&gt;""),Show!$B$17&amp; Show!$B$17&amp;"S.29.03.01.05 Rows{Z}@ForceFilingCode:false","")</f>
        <v/>
      </c>
    </row>
    <row r="1312" spans="1:2">
      <c r="A1312" t="str">
        <f>IF(AND(LEFT('SE.01.01.16'!$D$75,8)&lt;&gt;"Reported",'SE.01.01.16'!$D$75&lt;&gt;""),Show!$B$17 &amp; "S.29.03.01.06 Rows{Z}@ForceFilingCode:false","")</f>
        <v/>
      </c>
      <c r="B1312" t="str">
        <f>IF(AND(LEFT('SE.01.01.16'!$D$75,8)&lt;&gt;"Reported",'SE.01.01.16'!$D$75&lt;&gt;""),Show!$B$17&amp; Show!$B$17&amp;"S.29.03.01.06 Rows{Z}@ForceFilingCode:false","")</f>
        <v/>
      </c>
    </row>
    <row r="1313" spans="1:2">
      <c r="A1313" t="str">
        <f>IF(AND(LEFT('SE.01.01.16'!$D$75,8)&lt;&gt;"Reported",'SE.01.01.16'!$D$75&lt;&gt;""),Show!$B$17 &amp; "S.29.03.01.07 Rows{Z}@ForceFilingCode:false","")</f>
        <v/>
      </c>
      <c r="B1313" t="str">
        <f>IF(AND(LEFT('SE.01.01.16'!$D$75,8)&lt;&gt;"Reported",'SE.01.01.16'!$D$75&lt;&gt;""),Show!$B$17&amp; Show!$B$17&amp;"S.29.03.01.07 Rows{Z}@ForceFilingCode:false","")</f>
        <v/>
      </c>
    </row>
    <row r="1314" spans="1:2">
      <c r="A1314" t="str">
        <f>IF(AND(LEFT('SE.01.01.16'!$D$76,8)&lt;&gt;"Reported",'SE.01.01.16'!$D$76&lt;&gt;""),Show!$B$17 &amp; "S.29.04.01.01 Rows{Z}@ForceFilingCode:false","")</f>
        <v/>
      </c>
      <c r="B1314" t="str">
        <f>IF(AND(LEFT('SE.01.01.16'!$D$76,8)&lt;&gt;"Reported",'SE.01.01.16'!$D$76&lt;&gt;""),Show!$B$17&amp; Show!$B$17&amp;"S.29.04.01.01 Rows{Z}@ForceFilingCode:false","")</f>
        <v/>
      </c>
    </row>
    <row r="1315" spans="1:2">
      <c r="A1315" t="str">
        <f>IF(AND(LEFT('SE.01.01.16'!$D$76,8)&lt;&gt;"Reported",'SE.01.01.16'!$D$76&lt;&gt;""),Show!$B$17 &amp; "S.29.04.01.02 Rows{Z}@ForceFilingCode:false","")</f>
        <v/>
      </c>
      <c r="B1315" t="str">
        <f>IF(AND(LEFT('SE.01.01.16'!$D$76,8)&lt;&gt;"Reported",'SE.01.01.16'!$D$76&lt;&gt;""),Show!$B$17&amp; Show!$B$17&amp;"S.29.04.01.02 Rows{Z}@ForceFilingCode:false","")</f>
        <v/>
      </c>
    </row>
    <row r="1316" spans="1:2">
      <c r="A1316" t="str">
        <f>IF(AND(LEFT('SE.01.01.16'!$D$77,8)&lt;&gt;"Reported",'SE.01.01.16'!$D$77&lt;&gt;""),Show!$B$17 &amp; "S.30.01.01.01 Rows{Z}@ForceFilingCode:false","")</f>
        <v/>
      </c>
      <c r="B1316" t="str">
        <f>IF(AND(LEFT('SE.01.01.16'!$D$77,8)&lt;&gt;"Reported",'SE.01.01.16'!$D$77&lt;&gt;""),Show!$B$17&amp; Show!$B$17&amp;"S.30.01.01.01 Rows{Z}@ForceFilingCode:false","")</f>
        <v/>
      </c>
    </row>
    <row r="1317" spans="1:2">
      <c r="A1317" t="str">
        <f>IF(AND(LEFT('SE.01.01.16'!$D$77,8)&lt;&gt;"Reported",'SE.01.01.16'!$D$77&lt;&gt;""),Show!$B$17 &amp; "S.30.01.01.02 Rows{Z}@ForceFilingCode:false","")</f>
        <v/>
      </c>
      <c r="B1317" t="str">
        <f>IF(AND(LEFT('SE.01.01.16'!$D$77,8)&lt;&gt;"Reported",'SE.01.01.16'!$D$77&lt;&gt;""),Show!$B$17&amp; Show!$B$17&amp;"S.30.01.01.02 Rows{Z}@ForceFilingCode:false","")</f>
        <v/>
      </c>
    </row>
    <row r="1318" spans="1:2">
      <c r="A1318" t="str">
        <f>IF(AND(LEFT('SE.01.01.16'!$D$78,8)&lt;&gt;"Reported",'SE.01.01.16'!$D$78&lt;&gt;""),Show!$B$17 &amp; "S.30.02.01.01 Rows{Z}@ForceFilingCode:false","")</f>
        <v/>
      </c>
      <c r="B1318" t="str">
        <f>IF(AND(LEFT('SE.01.01.16'!$D$78,8)&lt;&gt;"Reported",'SE.01.01.16'!$D$78&lt;&gt;""),Show!$B$17&amp; Show!$B$17&amp;"S.30.02.01.01 Rows{Z}@ForceFilingCode:false","")</f>
        <v/>
      </c>
    </row>
    <row r="1319" spans="1:2">
      <c r="A1319" t="str">
        <f>IF(AND(LEFT('SE.01.01.16'!$D$78,8)&lt;&gt;"Reported",'SE.01.01.16'!$D$78&lt;&gt;""),Show!$B$17 &amp; "S.30.02.01.02 Rows{Z}@ForceFilingCode:false","")</f>
        <v/>
      </c>
      <c r="B1319" t="str">
        <f>IF(AND(LEFT('SE.01.01.16'!$D$78,8)&lt;&gt;"Reported",'SE.01.01.16'!$D$78&lt;&gt;""),Show!$B$17&amp; Show!$B$17&amp;"S.30.02.01.02 Rows{Z}@ForceFilingCode:false","")</f>
        <v/>
      </c>
    </row>
    <row r="1320" spans="1:2">
      <c r="A1320" t="str">
        <f>IF(AND(LEFT('SE.01.01.16'!$D$78,8)&lt;&gt;"Reported",'SE.01.01.16'!$D$78&lt;&gt;""),Show!$B$17 &amp; "S.30.02.01.03 Rows{Z}@ForceFilingCode:false","")</f>
        <v/>
      </c>
      <c r="B1320" t="str">
        <f>IF(AND(LEFT('SE.01.01.16'!$D$78,8)&lt;&gt;"Reported",'SE.01.01.16'!$D$78&lt;&gt;""),Show!$B$17&amp; Show!$B$17&amp;"S.30.02.01.03 Rows{Z}@ForceFilingCode:false","")</f>
        <v/>
      </c>
    </row>
    <row r="1321" spans="1:2">
      <c r="A1321" t="str">
        <f>IF(AND(LEFT('SE.01.01.16'!$D$78,8)&lt;&gt;"Reported",'SE.01.01.16'!$D$78&lt;&gt;""),Show!$B$17 &amp; "S.30.02.01.04 Rows{Z}@ForceFilingCode:false","")</f>
        <v/>
      </c>
      <c r="B1321" t="str">
        <f>IF(AND(LEFT('SE.01.01.16'!$D$78,8)&lt;&gt;"Reported",'SE.01.01.16'!$D$78&lt;&gt;""),Show!$B$17&amp; Show!$B$17&amp;"S.30.02.01.04 Rows{Z}@ForceFilingCode:false","")</f>
        <v/>
      </c>
    </row>
    <row r="1322" spans="1:2">
      <c r="A1322" t="str">
        <f>IF(AND(LEFT('SE.01.01.16'!$D$79,8)&lt;&gt;"Reported",'SE.01.01.16'!$D$79&lt;&gt;""),Show!$B$17 &amp; "S.30.03.01.01 Rows{Z}@ForceFilingCode:false","")</f>
        <v/>
      </c>
      <c r="B1322" t="str">
        <f>IF(AND(LEFT('SE.01.01.16'!$D$79,8)&lt;&gt;"Reported",'SE.01.01.16'!$D$79&lt;&gt;""),Show!$B$17&amp; Show!$B$17&amp;"S.30.03.01.01 Rows{Z}@ForceFilingCode:false","")</f>
        <v/>
      </c>
    </row>
    <row r="1323" spans="1:2">
      <c r="A1323" t="str">
        <f>IF(AND(LEFT('SE.01.01.16'!$D$80,8)&lt;&gt;"Reported",'SE.01.01.16'!$D$80&lt;&gt;""),Show!$B$17 &amp; "S.30.04.01.01 Rows{Z}@ForceFilingCode:false","")</f>
        <v/>
      </c>
      <c r="B1323" t="str">
        <f>IF(AND(LEFT('SE.01.01.16'!$D$80,8)&lt;&gt;"Reported",'SE.01.01.16'!$D$80&lt;&gt;""),Show!$B$17&amp; Show!$B$17&amp;"S.30.04.01.01 Rows{Z}@ForceFilingCode:false","")</f>
        <v/>
      </c>
    </row>
    <row r="1324" spans="1:2">
      <c r="A1324" t="str">
        <f>IF(AND(LEFT('SE.01.01.16'!$D$80,8)&lt;&gt;"Reported",'SE.01.01.16'!$D$80&lt;&gt;""),Show!$B$17 &amp; "S.30.04.01.02 Rows{Z}@ForceFilingCode:false","")</f>
        <v/>
      </c>
      <c r="B1324" t="str">
        <f>IF(AND(LEFT('SE.01.01.16'!$D$80,8)&lt;&gt;"Reported",'SE.01.01.16'!$D$80&lt;&gt;""),Show!$B$17&amp; Show!$B$17&amp;"S.30.04.01.02 Rows{Z}@ForceFilingCode:false","")</f>
        <v/>
      </c>
    </row>
    <row r="1325" spans="1:2">
      <c r="A1325" t="str">
        <f>IF(AND(LEFT('SE.01.01.16'!$D$80,8)&lt;&gt;"Reported",'SE.01.01.16'!$D$80&lt;&gt;""),Show!$B$17 &amp; "S.30.04.01.03 Rows{Z}@ForceFilingCode:false","")</f>
        <v/>
      </c>
      <c r="B1325" t="str">
        <f>IF(AND(LEFT('SE.01.01.16'!$D$80,8)&lt;&gt;"Reported",'SE.01.01.16'!$D$80&lt;&gt;""),Show!$B$17&amp; Show!$B$17&amp;"S.30.04.01.03 Rows{Z}@ForceFilingCode:false","")</f>
        <v/>
      </c>
    </row>
    <row r="1326" spans="1:2">
      <c r="A1326" t="str">
        <f>IF(AND(LEFT('SE.01.01.16'!$D$81,8)&lt;&gt;"Reported",'SE.01.01.16'!$D$81&lt;&gt;""),Show!$B$17 &amp; "S.31.01.01.01 Rows{Z}@ForceFilingCode:false","")</f>
        <v/>
      </c>
      <c r="B1326" t="str">
        <f>IF(AND(LEFT('SE.01.01.16'!$D$81,8)&lt;&gt;"Reported",'SE.01.01.16'!$D$81&lt;&gt;""),Show!$B$17&amp; Show!$B$17&amp;"S.31.01.01.01 Rows{Z}@ForceFilingCode:false","")</f>
        <v/>
      </c>
    </row>
    <row r="1327" spans="1:2">
      <c r="A1327" t="str">
        <f>IF(AND(LEFT('SE.01.01.16'!$D$81,8)&lt;&gt;"Reported",'SE.01.01.16'!$D$81&lt;&gt;""),Show!$B$17 &amp; "S.31.01.01.02 Rows{Z}@ForceFilingCode:false","")</f>
        <v/>
      </c>
      <c r="B1327" t="str">
        <f>IF(AND(LEFT('SE.01.01.16'!$D$81,8)&lt;&gt;"Reported",'SE.01.01.16'!$D$81&lt;&gt;""),Show!$B$17&amp; Show!$B$17&amp;"S.31.01.01.02 Rows{Z}@ForceFilingCode:false","")</f>
        <v/>
      </c>
    </row>
    <row r="1328" spans="1:2">
      <c r="A1328" t="str">
        <f>IF(AND(LEFT('SE.01.01.16'!$D$82,8)&lt;&gt;"Reported",'SE.01.01.16'!$D$82&lt;&gt;""),Show!$B$17 &amp; "S.31.02.01.01 Rows{Z}@ForceFilingCode:false","")</f>
        <v/>
      </c>
      <c r="B1328" t="str">
        <f>IF(AND(LEFT('SE.01.01.16'!$D$82,8)&lt;&gt;"Reported",'SE.01.01.16'!$D$82&lt;&gt;""),Show!$B$17&amp; Show!$B$17&amp;"S.31.02.01.01 Rows{Z}@ForceFilingCode:false","")</f>
        <v/>
      </c>
    </row>
    <row r="1329" spans="1:2">
      <c r="A1329" t="str">
        <f>IF(AND(LEFT('SE.01.01.16'!$D$82,8)&lt;&gt;"Reported",'SE.01.01.16'!$D$82&lt;&gt;""),Show!$B$17 &amp; "S.31.02.01.02 Rows{Z}@ForceFilingCode:false","")</f>
        <v/>
      </c>
      <c r="B1329" t="str">
        <f>IF(AND(LEFT('SE.01.01.16'!$D$82,8)&lt;&gt;"Reported",'SE.01.01.16'!$D$82&lt;&gt;""),Show!$B$17&amp; Show!$B$17&amp;"S.31.02.01.02 Rows{Z}@ForceFilingCode:false","")</f>
        <v/>
      </c>
    </row>
    <row r="1330" spans="1:2">
      <c r="A1330" t="str">
        <f>IF(AND(LEFT('SE.01.01.16'!$D$83,8)&lt;&gt;"Reported",'SE.01.01.16'!$D$83&lt;&gt;""),Show!$B$17 &amp; "S.36.01.01.01 Rows{Z}@ForceFilingCode:false","")</f>
        <v/>
      </c>
      <c r="B1330" t="str">
        <f>IF(AND(LEFT('SE.01.01.16'!$D$83,8)&lt;&gt;"Reported",'SE.01.01.16'!$D$83&lt;&gt;""),Show!$B$17&amp; Show!$B$17&amp;"S.36.01.01.01 Rows{Z}@ForceFilingCode:false","")</f>
        <v/>
      </c>
    </row>
    <row r="1331" spans="1:2">
      <c r="A1331" t="str">
        <f>IF(AND(LEFT('SE.01.01.16'!$D$84,8)&lt;&gt;"Reported",'SE.01.01.16'!$D$84&lt;&gt;""),Show!$B$17 &amp; "S.36.02.01.01 Rows{Z}@ForceFilingCode:false","")</f>
        <v/>
      </c>
      <c r="B1331" t="str">
        <f>IF(AND(LEFT('SE.01.01.16'!$D$84,8)&lt;&gt;"Reported",'SE.01.01.16'!$D$84&lt;&gt;""),Show!$B$17&amp; Show!$B$17&amp;"S.36.02.01.01 Rows{Z}@ForceFilingCode:false","")</f>
        <v/>
      </c>
    </row>
    <row r="1332" spans="1:2">
      <c r="A1332" t="str">
        <f>IF(AND(LEFT('SE.01.01.16'!$D$85,8)&lt;&gt;"Reported",'SE.01.01.16'!$D$85&lt;&gt;""),Show!$B$17 &amp; "S.36.03.01.01 Rows{Z}@ForceFilingCode:false","")</f>
        <v/>
      </c>
      <c r="B1332" t="str">
        <f>IF(AND(LEFT('SE.01.01.16'!$D$85,8)&lt;&gt;"Reported",'SE.01.01.16'!$D$85&lt;&gt;""),Show!$B$17&amp; Show!$B$17&amp;"S.36.03.01.01 Rows{Z}@ForceFilingCode:false","")</f>
        <v/>
      </c>
    </row>
    <row r="1333" spans="1:2">
      <c r="A1333" t="str">
        <f>IF(AND(LEFT('SE.01.01.16'!$D$86,8)&lt;&gt;"Reported",'SE.01.01.16'!$D$86&lt;&gt;""),Show!$B$17 &amp; "S.36.04.01.01 Rows{Z}@ForceFilingCode:false","")</f>
        <v/>
      </c>
      <c r="B1333" t="str">
        <f>IF(AND(LEFT('SE.01.01.16'!$D$86,8)&lt;&gt;"Reported",'SE.01.01.16'!$D$86&lt;&gt;""),Show!$B$17&amp; Show!$B$17&amp;"S.36.04.01.01 Rows{Z}@ForceFilingCode:false","")</f>
        <v/>
      </c>
    </row>
    <row r="1334" spans="1:2">
      <c r="A1334" t="str">
        <f>IF(AND(LEFT('SE.01.01.16'!$D$87,8)&lt;&gt;"Reported",'SE.01.01.16'!$D$87&lt;&gt;""),Show!$B$17 &amp; "E.01.01.16.01 Rows{Z}@ForceFilingCode:false","")</f>
        <v/>
      </c>
      <c r="B1334" t="str">
        <f>IF(AND(LEFT('SE.01.01.16'!$D$87,8)&lt;&gt;"Reported",'SE.01.01.16'!$D$87&lt;&gt;""),Show!$B$17&amp; Show!$B$17&amp;"E.01.01.16.01 Rows{Z}@ForceFilingCode:false","")</f>
        <v/>
      </c>
    </row>
    <row r="1335" spans="1:2">
      <c r="A1335" t="str">
        <f>IF(AND(LEFT('SE.01.01.16'!$D$88,8)&lt;&gt;"Reported",'SE.01.01.16'!$D$88&lt;&gt;""),Show!$B$17 &amp; "E.02.01.16.01 Rows{Z}@ForceFilingCode:false","")</f>
        <v/>
      </c>
      <c r="B1335" t="str">
        <f>IF(AND(LEFT('SE.01.01.16'!$D$88,8)&lt;&gt;"Reported",'SE.01.01.16'!$D$88&lt;&gt;""),Show!$B$17&amp; Show!$B$17&amp;"E.02.01.16.01 Rows{Z}@ForceFilingCode:false","")</f>
        <v/>
      </c>
    </row>
    <row r="1336" spans="1:2">
      <c r="A1336" t="str">
        <f>IF(AND(LEFT('SE.01.01.16'!$D$89,8)&lt;&gt;"Reported",'SE.01.01.16'!$D$89&lt;&gt;""),Show!$B$17 &amp; "E.03.01.16.01 Rows{Z}@ForceFilingCode:false","")</f>
        <v/>
      </c>
      <c r="B1336" t="str">
        <f>IF(AND(LEFT('SE.01.01.16'!$D$89,8)&lt;&gt;"Reported",'SE.01.01.16'!$D$89&lt;&gt;""),Show!$B$17&amp; Show!$B$17&amp;"E.03.01.16.01 Rows{Z}@ForceFilingCode:false","")</f>
        <v/>
      </c>
    </row>
    <row r="1337" spans="1:2">
      <c r="A1337" t="str">
        <f>IF(AND(LEFT('SE.01.01.16'!$D$89,8)&lt;&gt;"Reported",'SE.01.01.16'!$D$89&lt;&gt;""),Show!$B$17 &amp; "E.03.01.16.02 Rows{Z}@ForceFilingCode:false","")</f>
        <v/>
      </c>
      <c r="B1337" t="str">
        <f>IF(AND(LEFT('SE.01.01.16'!$D$89,8)&lt;&gt;"Reported",'SE.01.01.16'!$D$89&lt;&gt;""),Show!$B$17&amp; Show!$B$17&amp;"E.03.01.16.02 Rows{Z}@ForceFilingCode:false","")</f>
        <v/>
      </c>
    </row>
    <row r="1338" spans="1:2">
      <c r="A1338" t="str">
        <f>IF(AND(LEFT('SE.01.01.17'!$D$16,8)&lt;&gt;"Reported",'SE.01.01.17'!$D$16&lt;&gt;""),Show!$B$18 &amp; "S.01.02.01.01 Rows{Z}@ForceFilingCode:false","")</f>
        <v/>
      </c>
      <c r="B1338" t="str">
        <f>IF(AND(LEFT('SE.01.01.17'!$D$16,8)&lt;&gt;"Reported",'SE.01.01.17'!$D$16&lt;&gt;""),Show!$B$18&amp; Show!$B$18&amp;"S.01.02.01.01 Rows{Z}@ForceFilingCode:false","")</f>
        <v/>
      </c>
    </row>
    <row r="1339" spans="1:2">
      <c r="A1339" t="str">
        <f>IF(AND(LEFT('SE.01.01.17'!$D$17,8)&lt;&gt;"Reported",'SE.01.01.17'!$D$17&lt;&gt;""),Show!$B$18 &amp; "SE.02.01.17.01 Rows{Z}@ForceFilingCode:false","")</f>
        <v/>
      </c>
      <c r="B1339" t="str">
        <f>IF(AND(LEFT('SE.01.01.17'!$D$17,8)&lt;&gt;"Reported",'SE.01.01.17'!$D$17&lt;&gt;""),Show!$B$18&amp; Show!$B$18&amp;"SE.02.01.17.01 Rows{Z}@ForceFilingCode:false","")</f>
        <v/>
      </c>
    </row>
    <row r="1340" spans="1:2">
      <c r="A1340" t="str">
        <f>IF(AND(LEFT('SE.01.01.17'!$D$18,8)&lt;&gt;"Reported",'SE.01.01.17'!$D$18&lt;&gt;""),Show!$B$18 &amp; "S.05.01.02.01 Rows{Z}@ForceFilingCode:false","")</f>
        <v/>
      </c>
      <c r="B1340" t="str">
        <f>IF(AND(LEFT('SE.01.01.17'!$D$18,8)&lt;&gt;"Reported",'SE.01.01.17'!$D$18&lt;&gt;""),Show!$B$18&amp; Show!$B$18&amp;"S.05.01.02.01 Rows{Z}@ForceFilingCode:false","")</f>
        <v/>
      </c>
    </row>
    <row r="1341" spans="1:2">
      <c r="A1341" t="str">
        <f>IF(AND(LEFT('SE.01.01.17'!$D$18,8)&lt;&gt;"Reported",'SE.01.01.17'!$D$18&lt;&gt;""),Show!$B$18 &amp; "S.05.01.02.02 Rows{Z}@ForceFilingCode:false","")</f>
        <v/>
      </c>
      <c r="B1341" t="str">
        <f>IF(AND(LEFT('SE.01.01.17'!$D$18,8)&lt;&gt;"Reported",'SE.01.01.17'!$D$18&lt;&gt;""),Show!$B$18&amp; Show!$B$18&amp;"S.05.01.02.02 Rows{Z}@ForceFilingCode:false","")</f>
        <v/>
      </c>
    </row>
    <row r="1342" spans="1:2">
      <c r="A1342" t="str">
        <f>IF(AND(LEFT('SE.01.01.17'!$D$19,8)&lt;&gt;"Reported",'SE.01.01.17'!$D$19&lt;&gt;""),Show!$B$18 &amp; "SE.06.02.16.01 Rows{Z}@ForceFilingCode:false","")</f>
        <v/>
      </c>
      <c r="B1342" t="str">
        <f>IF(AND(LEFT('SE.01.01.17'!$D$19,8)&lt;&gt;"Reported",'SE.01.01.17'!$D$19&lt;&gt;""),Show!$B$18&amp; Show!$B$18&amp;"SE.06.02.16.01 Rows{Z}@ForceFilingCode:false","")</f>
        <v/>
      </c>
    </row>
    <row r="1343" spans="1:2">
      <c r="A1343" t="str">
        <f>IF(AND(LEFT('SE.01.01.17'!$D$19,8)&lt;&gt;"Reported",'SE.01.01.17'!$D$19&lt;&gt;""),Show!$B$18 &amp; "SE.06.02.16.02 Rows{Z}@ForceFilingCode:false","")</f>
        <v/>
      </c>
      <c r="B1343" t="str">
        <f>IF(AND(LEFT('SE.01.01.17'!$D$19,8)&lt;&gt;"Reported",'SE.01.01.17'!$D$19&lt;&gt;""),Show!$B$18&amp; Show!$B$18&amp;"SE.06.02.16.02 Rows{Z}@ForceFilingCode:false","")</f>
        <v/>
      </c>
    </row>
    <row r="1344" spans="1:2">
      <c r="A1344" t="str">
        <f>IF(AND(LEFT('SE.01.01.17'!$D$20,8)&lt;&gt;"Reported",'SE.01.01.17'!$D$20&lt;&gt;""),Show!$B$18 &amp; "S.06.03.01.01 Rows{Z}@ForceFilingCode:false","")</f>
        <v/>
      </c>
      <c r="B1344" t="str">
        <f>IF(AND(LEFT('SE.01.01.17'!$D$20,8)&lt;&gt;"Reported",'SE.01.01.17'!$D$20&lt;&gt;""),Show!$B$18&amp; Show!$B$18&amp;"S.06.03.01.01 Rows{Z}@ForceFilingCode:false","")</f>
        <v/>
      </c>
    </row>
    <row r="1345" spans="1:2">
      <c r="A1345" t="str">
        <f>IF(AND(LEFT('SE.01.01.17'!$D$21,8)&lt;&gt;"Reported",'SE.01.01.17'!$D$21&lt;&gt;""),Show!$B$18 &amp; "S.08.01.01.01 Rows{Z}@ForceFilingCode:false","")</f>
        <v/>
      </c>
      <c r="B1345" t="str">
        <f>IF(AND(LEFT('SE.01.01.17'!$D$21,8)&lt;&gt;"Reported",'SE.01.01.17'!$D$21&lt;&gt;""),Show!$B$18&amp; Show!$B$18&amp;"S.08.01.01.01 Rows{Z}@ForceFilingCode:false","")</f>
        <v/>
      </c>
    </row>
    <row r="1346" spans="1:2">
      <c r="A1346" t="str">
        <f>IF(AND(LEFT('SE.01.01.17'!$D$21,8)&lt;&gt;"Reported",'SE.01.01.17'!$D$21&lt;&gt;""),Show!$B$18 &amp; "S.08.01.01.02 Rows{Z}@ForceFilingCode:false","")</f>
        <v/>
      </c>
      <c r="B1346" t="str">
        <f>IF(AND(LEFT('SE.01.01.17'!$D$21,8)&lt;&gt;"Reported",'SE.01.01.17'!$D$21&lt;&gt;""),Show!$B$18&amp; Show!$B$18&amp;"S.08.01.01.02 Rows{Z}@ForceFilingCode:false","")</f>
        <v/>
      </c>
    </row>
    <row r="1347" spans="1:2">
      <c r="A1347" t="str">
        <f>IF(AND(LEFT('SE.01.01.17'!$D$22,8)&lt;&gt;"Reported",'SE.01.01.17'!$D$22&lt;&gt;""),Show!$B$18 &amp; "S.08.02.01.01 Rows{Z}@ForceFilingCode:false","")</f>
        <v/>
      </c>
      <c r="B1347" t="str">
        <f>IF(AND(LEFT('SE.01.01.17'!$D$22,8)&lt;&gt;"Reported",'SE.01.01.17'!$D$22&lt;&gt;""),Show!$B$18&amp; Show!$B$18&amp;"S.08.02.01.01 Rows{Z}@ForceFilingCode:false","")</f>
        <v/>
      </c>
    </row>
    <row r="1348" spans="1:2">
      <c r="A1348" t="str">
        <f>IF(AND(LEFT('SE.01.01.17'!$D$22,8)&lt;&gt;"Reported",'SE.01.01.17'!$D$22&lt;&gt;""),Show!$B$18 &amp; "S.08.02.01.02 Rows{Z}@ForceFilingCode:false","")</f>
        <v/>
      </c>
      <c r="B1348" t="str">
        <f>IF(AND(LEFT('SE.01.01.17'!$D$22,8)&lt;&gt;"Reported",'SE.01.01.17'!$D$22&lt;&gt;""),Show!$B$18&amp; Show!$B$18&amp;"S.08.02.01.02 Rows{Z}@ForceFilingCode:false","")</f>
        <v/>
      </c>
    </row>
    <row r="1349" spans="1:2">
      <c r="A1349" t="str">
        <f>IF(AND(LEFT('SE.01.01.17'!$D$23,8)&lt;&gt;"Reported",'SE.01.01.17'!$D$23&lt;&gt;""),Show!$B$18 &amp; "S.12.01.02.01 Rows{Z}@ForceFilingCode:false","")</f>
        <v/>
      </c>
      <c r="B1349" t="str">
        <f>IF(AND(LEFT('SE.01.01.17'!$D$23,8)&lt;&gt;"Reported",'SE.01.01.17'!$D$23&lt;&gt;""),Show!$B$18&amp; Show!$B$18&amp;"S.12.01.02.01 Rows{Z}@ForceFilingCode:false","")</f>
        <v/>
      </c>
    </row>
    <row r="1350" spans="1:2">
      <c r="A1350" t="str">
        <f>IF(AND(LEFT('SE.01.01.17'!$D$24,8)&lt;&gt;"Reported",'SE.01.01.17'!$D$24&lt;&gt;""),Show!$B$18 &amp; "S.17.01.02.01 Rows{Z}@ForceFilingCode:false","")</f>
        <v/>
      </c>
      <c r="B1350" t="str">
        <f>IF(AND(LEFT('SE.01.01.17'!$D$24,8)&lt;&gt;"Reported",'SE.01.01.17'!$D$24&lt;&gt;""),Show!$B$18&amp; Show!$B$18&amp;"S.17.01.02.01 Rows{Z}@ForceFilingCode:false","")</f>
        <v/>
      </c>
    </row>
    <row r="1351" spans="1:2">
      <c r="A1351" t="str">
        <f>IF(AND(LEFT('SE.01.01.17'!$D$25,8)&lt;&gt;"Reported",'SE.01.01.17'!$D$25&lt;&gt;""),Show!$B$18 &amp; "S.23.01.01.01 Rows{Z}@ForceFilingCode:false","")</f>
        <v/>
      </c>
      <c r="B1351" t="str">
        <f>IF(AND(LEFT('SE.01.01.17'!$D$25,8)&lt;&gt;"Reported",'SE.01.01.17'!$D$25&lt;&gt;""),Show!$B$18&amp; Show!$B$18&amp;"S.23.01.01.01 Rows{Z}@ForceFilingCode:false","")</f>
        <v/>
      </c>
    </row>
    <row r="1352" spans="1:2">
      <c r="A1352" t="str">
        <f>IF(AND(LEFT('SE.01.01.17'!$D$25,8)&lt;&gt;"Reported",'SE.01.01.17'!$D$25&lt;&gt;""),Show!$B$18 &amp; "S.23.01.01.02 Rows{Z}@ForceFilingCode:false","")</f>
        <v/>
      </c>
      <c r="B1352" t="str">
        <f>IF(AND(LEFT('SE.01.01.17'!$D$25,8)&lt;&gt;"Reported",'SE.01.01.17'!$D$25&lt;&gt;""),Show!$B$18&amp; Show!$B$18&amp;"S.23.01.01.02 Rows{Z}@ForceFilingCode:false","")</f>
        <v/>
      </c>
    </row>
    <row r="1353" spans="1:2">
      <c r="A1353" t="str">
        <f>IF(AND(LEFT('SE.01.01.17'!$D$26,8)&lt;&gt;"Reported",'SE.01.01.17'!$D$26&lt;&gt;""),Show!$B$18 &amp; "S.28.01.01.01 Rows{Z}@ForceFilingCode:false","")</f>
        <v/>
      </c>
      <c r="B1353" t="str">
        <f>IF(AND(LEFT('SE.01.01.17'!$D$26,8)&lt;&gt;"Reported",'SE.01.01.17'!$D$26&lt;&gt;""),Show!$B$18&amp; Show!$B$18&amp;"S.28.01.01.01 Rows{Z}@ForceFilingCode:false","")</f>
        <v/>
      </c>
    </row>
    <row r="1354" spans="1:2">
      <c r="A1354" t="str">
        <f>IF(AND(LEFT('SE.01.01.17'!$D$26,8)&lt;&gt;"Reported",'SE.01.01.17'!$D$26&lt;&gt;""),Show!$B$18 &amp; "S.28.01.01.02 Rows{Z}@ForceFilingCode:false","")</f>
        <v/>
      </c>
      <c r="B1354" t="str">
        <f>IF(AND(LEFT('SE.01.01.17'!$D$26,8)&lt;&gt;"Reported",'SE.01.01.17'!$D$26&lt;&gt;""),Show!$B$18&amp; Show!$B$18&amp;"S.28.01.01.02 Rows{Z}@ForceFilingCode:false","")</f>
        <v/>
      </c>
    </row>
    <row r="1355" spans="1:2">
      <c r="A1355" t="str">
        <f>IF(AND(LEFT('SE.01.01.17'!$D$26,8)&lt;&gt;"Reported",'SE.01.01.17'!$D$26&lt;&gt;""),Show!$B$18 &amp; "S.28.01.01.03 Rows{Z}@ForceFilingCode:false","")</f>
        <v/>
      </c>
      <c r="B1355" t="str">
        <f>IF(AND(LEFT('SE.01.01.17'!$D$26,8)&lt;&gt;"Reported",'SE.01.01.17'!$D$26&lt;&gt;""),Show!$B$18&amp; Show!$B$18&amp;"S.28.01.01.03 Rows{Z}@ForceFilingCode:false","")</f>
        <v/>
      </c>
    </row>
    <row r="1356" spans="1:2">
      <c r="A1356" t="str">
        <f>IF(AND(LEFT('SE.01.01.17'!$D$26,8)&lt;&gt;"Reported",'SE.01.01.17'!$D$26&lt;&gt;""),Show!$B$18 &amp; "S.28.01.01.04 Rows{Z}@ForceFilingCode:false","")</f>
        <v/>
      </c>
      <c r="B1356" t="str">
        <f>IF(AND(LEFT('SE.01.01.17'!$D$26,8)&lt;&gt;"Reported",'SE.01.01.17'!$D$26&lt;&gt;""),Show!$B$18&amp; Show!$B$18&amp;"S.28.01.01.04 Rows{Z}@ForceFilingCode:false","")</f>
        <v/>
      </c>
    </row>
    <row r="1357" spans="1:2">
      <c r="A1357" t="str">
        <f>IF(AND(LEFT('SE.01.01.17'!$D$26,8)&lt;&gt;"Reported",'SE.01.01.17'!$D$26&lt;&gt;""),Show!$B$18 &amp; "S.28.01.01.05 Rows{Z}@ForceFilingCode:false","")</f>
        <v/>
      </c>
      <c r="B1357" t="str">
        <f>IF(AND(LEFT('SE.01.01.17'!$D$26,8)&lt;&gt;"Reported",'SE.01.01.17'!$D$26&lt;&gt;""),Show!$B$18&amp; Show!$B$18&amp;"S.28.01.01.05 Rows{Z}@ForceFilingCode:false","")</f>
        <v/>
      </c>
    </row>
    <row r="1358" spans="1:2">
      <c r="A1358" t="str">
        <f>IF(AND(LEFT('SE.01.01.17'!$D$27,8)&lt;&gt;"Reported",'SE.01.01.17'!$D$27&lt;&gt;""),Show!$B$18 &amp; "S.28.02.01.01 Rows{Z}@ForceFilingCode:false","")</f>
        <v/>
      </c>
      <c r="B1358" t="str">
        <f>IF(AND(LEFT('SE.01.01.17'!$D$27,8)&lt;&gt;"Reported",'SE.01.01.17'!$D$27&lt;&gt;""),Show!$B$18&amp; Show!$B$18&amp;"S.28.02.01.01 Rows{Z}@ForceFilingCode:false","")</f>
        <v/>
      </c>
    </row>
    <row r="1359" spans="1:2">
      <c r="A1359" t="str">
        <f>IF(AND(LEFT('SE.01.01.17'!$D$27,8)&lt;&gt;"Reported",'SE.01.01.17'!$D$27&lt;&gt;""),Show!$B$18 &amp; "S.28.02.01.02 Rows{Z}@ForceFilingCode:false","")</f>
        <v/>
      </c>
      <c r="B1359" t="str">
        <f>IF(AND(LEFT('SE.01.01.17'!$D$27,8)&lt;&gt;"Reported",'SE.01.01.17'!$D$27&lt;&gt;""),Show!$B$18&amp; Show!$B$18&amp;"S.28.02.01.02 Rows{Z}@ForceFilingCode:false","")</f>
        <v/>
      </c>
    </row>
    <row r="1360" spans="1:2">
      <c r="A1360" t="str">
        <f>IF(AND(LEFT('SE.01.01.17'!$D$27,8)&lt;&gt;"Reported",'SE.01.01.17'!$D$27&lt;&gt;""),Show!$B$18 &amp; "S.28.02.01.03 Rows{Z}@ForceFilingCode:false","")</f>
        <v/>
      </c>
      <c r="B1360" t="str">
        <f>IF(AND(LEFT('SE.01.01.17'!$D$27,8)&lt;&gt;"Reported",'SE.01.01.17'!$D$27&lt;&gt;""),Show!$B$18&amp; Show!$B$18&amp;"S.28.02.01.03 Rows{Z}@ForceFilingCode:false","")</f>
        <v/>
      </c>
    </row>
    <row r="1361" spans="1:2">
      <c r="A1361" t="str">
        <f>IF(AND(LEFT('SE.01.01.17'!$D$27,8)&lt;&gt;"Reported",'SE.01.01.17'!$D$27&lt;&gt;""),Show!$B$18 &amp; "S.28.02.01.04 Rows{Z}@ForceFilingCode:false","")</f>
        <v/>
      </c>
      <c r="B1361" t="str">
        <f>IF(AND(LEFT('SE.01.01.17'!$D$27,8)&lt;&gt;"Reported",'SE.01.01.17'!$D$27&lt;&gt;""),Show!$B$18&amp; Show!$B$18&amp;"S.28.02.01.04 Rows{Z}@ForceFilingCode:false","")</f>
        <v/>
      </c>
    </row>
    <row r="1362" spans="1:2">
      <c r="A1362" t="str">
        <f>IF(AND(LEFT('SE.01.01.17'!$D$27,8)&lt;&gt;"Reported",'SE.01.01.17'!$D$27&lt;&gt;""),Show!$B$18 &amp; "S.28.02.01.05 Rows{Z}@ForceFilingCode:false","")</f>
        <v/>
      </c>
      <c r="B1362" t="str">
        <f>IF(AND(LEFT('SE.01.01.17'!$D$27,8)&lt;&gt;"Reported",'SE.01.01.17'!$D$27&lt;&gt;""),Show!$B$18&amp; Show!$B$18&amp;"S.28.02.01.05 Rows{Z}@ForceFilingCode:false","")</f>
        <v/>
      </c>
    </row>
    <row r="1363" spans="1:2">
      <c r="A1363" t="str">
        <f>IF(AND(LEFT('SE.01.01.17'!$D$27,8)&lt;&gt;"Reported",'SE.01.01.17'!$D$27&lt;&gt;""),Show!$B$18 &amp; "S.28.02.01.06 Rows{Z}@ForceFilingCode:false","")</f>
        <v/>
      </c>
      <c r="B1363" t="str">
        <f>IF(AND(LEFT('SE.01.01.17'!$D$27,8)&lt;&gt;"Reported",'SE.01.01.17'!$D$27&lt;&gt;""),Show!$B$18&amp; Show!$B$18&amp;"S.28.02.01.06 Rows{Z}@ForceFilingCode:false","")</f>
        <v/>
      </c>
    </row>
    <row r="1364" spans="1:2">
      <c r="A1364" t="str">
        <f>IF(AND(LEFT('SE.01.01.17'!$D$28,8)&lt;&gt;"Reported",'SE.01.01.17'!$D$28&lt;&gt;""),Show!$B$18 &amp; "E.01.01.16.01 Rows{Z}@ForceFilingCode:false","")</f>
        <v/>
      </c>
      <c r="B1364" t="str">
        <f>IF(AND(LEFT('SE.01.01.17'!$D$28,8)&lt;&gt;"Reported",'SE.01.01.17'!$D$28&lt;&gt;""),Show!$B$18&amp; Show!$B$18&amp;"E.01.01.16.01 Rows{Z}@ForceFilingCode:false","")</f>
        <v/>
      </c>
    </row>
    <row r="1365" spans="1:2">
      <c r="A1365" t="str">
        <f>IF(AND(LEFT('SE.01.01.18'!$D$16,8)&lt;&gt;"Reported",'SE.01.01.18'!$D$16&lt;&gt;""),Show!$B$19 &amp; "S.01.02.07.01 Rows{Z}@ForceFilingCode:false","")</f>
        <v/>
      </c>
      <c r="B1365" t="str">
        <f>IF(AND(LEFT('SE.01.01.18'!$D$16,8)&lt;&gt;"Reported",'SE.01.01.18'!$D$16&lt;&gt;""),Show!$B$19&amp; Show!$B$19&amp;"S.01.02.07.01 Rows{Z}@ForceFilingCode:false","")</f>
        <v/>
      </c>
    </row>
    <row r="1366" spans="1:2">
      <c r="A1366" t="str">
        <f>IF(AND(LEFT('SE.01.01.18'!$D$16,8)&lt;&gt;"Reported",'SE.01.01.18'!$D$16&lt;&gt;""),Show!$B$19 &amp; "S.01.02.07.02 Rows{Z}@ForceFilingCode:false","")</f>
        <v/>
      </c>
      <c r="B1366" t="str">
        <f>IF(AND(LEFT('SE.01.01.18'!$D$16,8)&lt;&gt;"Reported",'SE.01.01.18'!$D$16&lt;&gt;""),Show!$B$19&amp; Show!$B$19&amp;"S.01.02.07.02 Rows{Z}@ForceFilingCode:false","")</f>
        <v/>
      </c>
    </row>
    <row r="1367" spans="1:2">
      <c r="A1367" t="str">
        <f>IF(AND(LEFT('SE.01.01.18'!$D$16,8)&lt;&gt;"Reported",'SE.01.01.18'!$D$16&lt;&gt;""),Show!$B$19 &amp; "S.01.02.07.03 Rows{Z}@ForceFilingCode:false","")</f>
        <v/>
      </c>
      <c r="B1367" t="str">
        <f>IF(AND(LEFT('SE.01.01.18'!$D$16,8)&lt;&gt;"Reported",'SE.01.01.18'!$D$16&lt;&gt;""),Show!$B$19&amp; Show!$B$19&amp;"S.01.02.07.03 Rows{Z}@ForceFilingCode:false","")</f>
        <v/>
      </c>
    </row>
    <row r="1368" spans="1:2">
      <c r="A1368" t="str">
        <f>IF(AND(LEFT('SE.01.01.18'!$D$17,8)&lt;&gt;"Reported",'SE.01.01.18'!$D$17&lt;&gt;""),Show!$B$19 &amp; "S.01.03.01.01 Rows{Z}@ForceFilingCode:false","")</f>
        <v/>
      </c>
      <c r="B1368" t="str">
        <f>IF(AND(LEFT('SE.01.01.18'!$D$17,8)&lt;&gt;"Reported",'SE.01.01.18'!$D$17&lt;&gt;""),Show!$B$19&amp; Show!$B$19&amp;"S.01.03.01.01 Rows{Z}@ForceFilingCode:false","")</f>
        <v/>
      </c>
    </row>
    <row r="1369" spans="1:2">
      <c r="A1369" t="str">
        <f>IF(AND(LEFT('SE.01.01.18'!$D$17,8)&lt;&gt;"Reported",'SE.01.01.18'!$D$17&lt;&gt;""),Show!$B$19 &amp; "S.01.03.01.02 Rows{Z}@ForceFilingCode:false","")</f>
        <v/>
      </c>
      <c r="B1369" t="str">
        <f>IF(AND(LEFT('SE.01.01.18'!$D$17,8)&lt;&gt;"Reported",'SE.01.01.18'!$D$17&lt;&gt;""),Show!$B$19&amp; Show!$B$19&amp;"S.01.03.01.02 Rows{Z}@ForceFilingCode:false","")</f>
        <v/>
      </c>
    </row>
    <row r="1370" spans="1:2">
      <c r="A1370" t="str">
        <f>IF(AND(LEFT('SE.01.01.18'!$D$18,8)&lt;&gt;"Reported",'SE.01.01.18'!$D$18&lt;&gt;""),Show!$B$19 &amp; "SE.02.01.18.01 Rows{Z}@ForceFilingCode:false","")</f>
        <v/>
      </c>
      <c r="B1370" t="str">
        <f>IF(AND(LEFT('SE.01.01.18'!$D$18,8)&lt;&gt;"Reported",'SE.01.01.18'!$D$18&lt;&gt;""),Show!$B$19&amp; Show!$B$19&amp;"SE.02.01.18.01 Rows{Z}@ForceFilingCode:false","")</f>
        <v/>
      </c>
    </row>
    <row r="1371" spans="1:2">
      <c r="A1371" t="str">
        <f>IF(AND(LEFT('SE.01.01.18'!$D$19,8)&lt;&gt;"Reported",'SE.01.01.18'!$D$19&lt;&gt;""),Show!$B$19 &amp; "S.02.02.01.01 Rows{Z}@ForceFilingCode:false","")</f>
        <v/>
      </c>
      <c r="B1371" t="str">
        <f>IF(AND(LEFT('SE.01.01.18'!$D$19,8)&lt;&gt;"Reported",'SE.01.01.18'!$D$19&lt;&gt;""),Show!$B$19&amp; Show!$B$19&amp;"S.02.02.01.01 Rows{Z}@ForceFilingCode:false","")</f>
        <v/>
      </c>
    </row>
    <row r="1372" spans="1:2">
      <c r="A1372" t="str">
        <f>IF(AND(LEFT('SE.01.01.18'!$D$19,8)&lt;&gt;"Reported",'SE.01.01.18'!$D$19&lt;&gt;""),Show!$B$19 &amp; "S.02.02.01.02 Rows{Z}@ForceFilingCode:false","")</f>
        <v/>
      </c>
      <c r="B1372" t="str">
        <f>IF(AND(LEFT('SE.01.01.18'!$D$19,8)&lt;&gt;"Reported",'SE.01.01.18'!$D$19&lt;&gt;""),Show!$B$19&amp; Show!$B$19&amp;"S.02.02.01.02 Rows{Z}@ForceFilingCode:false","")</f>
        <v/>
      </c>
    </row>
    <row r="1373" spans="1:2">
      <c r="A1373" t="str">
        <f>IF(AND(LEFT('SE.01.01.18'!$D$20,8)&lt;&gt;"Reported",'SE.01.01.18'!$D$20&lt;&gt;""),Show!$B$19 &amp; "S.02.03.07.01 Rows{Z}@ForceFilingCode:false","")</f>
        <v/>
      </c>
      <c r="B1373" t="str">
        <f>IF(AND(LEFT('SE.01.01.18'!$D$20,8)&lt;&gt;"Reported",'SE.01.01.18'!$D$20&lt;&gt;""),Show!$B$19&amp; Show!$B$19&amp;"S.02.03.07.01 Rows{Z}@ForceFilingCode:false","")</f>
        <v/>
      </c>
    </row>
    <row r="1374" spans="1:2">
      <c r="A1374" t="str">
        <f>IF(AND(LEFT('SE.01.01.18'!$D$20,8)&lt;&gt;"Reported",'SE.01.01.18'!$D$20&lt;&gt;""),Show!$B$19 &amp; "S.02.03.07.02 Rows{Z}@ForceFilingCode:false","")</f>
        <v/>
      </c>
      <c r="B1374" t="str">
        <f>IF(AND(LEFT('SE.01.01.18'!$D$20,8)&lt;&gt;"Reported",'SE.01.01.18'!$D$20&lt;&gt;""),Show!$B$19&amp; Show!$B$19&amp;"S.02.03.07.02 Rows{Z}@ForceFilingCode:false","")</f>
        <v/>
      </c>
    </row>
    <row r="1375" spans="1:2">
      <c r="A1375" t="str">
        <f>IF(AND(LEFT('SE.01.01.18'!$D$20,8)&lt;&gt;"Reported",'SE.01.01.18'!$D$20&lt;&gt;""),Show!$B$19 &amp; "S.02.03.07.03 Rows{Z}@ForceFilingCode:false","")</f>
        <v/>
      </c>
      <c r="B1375" t="str">
        <f>IF(AND(LEFT('SE.01.01.18'!$D$20,8)&lt;&gt;"Reported",'SE.01.01.18'!$D$20&lt;&gt;""),Show!$B$19&amp; Show!$B$19&amp;"S.02.03.07.03 Rows{Z}@ForceFilingCode:false","")</f>
        <v/>
      </c>
    </row>
    <row r="1376" spans="1:2">
      <c r="A1376" t="str">
        <f>IF(AND(LEFT('SE.01.01.18'!$D$21,8)&lt;&gt;"Reported",'SE.01.01.18'!$D$21&lt;&gt;""),Show!$B$19 &amp; "S.03.01.01.01 Rows{Z}@ForceFilingCode:false","")</f>
        <v/>
      </c>
      <c r="B1376" t="str">
        <f>IF(AND(LEFT('SE.01.01.18'!$D$21,8)&lt;&gt;"Reported",'SE.01.01.18'!$D$21&lt;&gt;""),Show!$B$19&amp; Show!$B$19&amp;"S.03.01.01.01 Rows{Z}@ForceFilingCode:false","")</f>
        <v/>
      </c>
    </row>
    <row r="1377" spans="1:2">
      <c r="A1377" t="str">
        <f>IF(AND(LEFT('SE.01.01.18'!$D$21,8)&lt;&gt;"Reported",'SE.01.01.18'!$D$21&lt;&gt;""),Show!$B$19 &amp; "S.03.01.01.02 Rows{Z}@ForceFilingCode:false","")</f>
        <v/>
      </c>
      <c r="B1377" t="str">
        <f>IF(AND(LEFT('SE.01.01.18'!$D$21,8)&lt;&gt;"Reported",'SE.01.01.18'!$D$21&lt;&gt;""),Show!$B$19&amp; Show!$B$19&amp;"S.03.01.01.02 Rows{Z}@ForceFilingCode:false","")</f>
        <v/>
      </c>
    </row>
    <row r="1378" spans="1:2">
      <c r="A1378" t="str">
        <f>IF(AND(LEFT('SE.01.01.18'!$D$22,8)&lt;&gt;"Reported",'SE.01.01.18'!$D$22&lt;&gt;""),Show!$B$19 &amp; "S.03.02.01.01 Rows{Z}@ForceFilingCode:false","")</f>
        <v/>
      </c>
      <c r="B1378" t="str">
        <f>IF(AND(LEFT('SE.01.01.18'!$D$22,8)&lt;&gt;"Reported",'SE.01.01.18'!$D$22&lt;&gt;""),Show!$B$19&amp; Show!$B$19&amp;"S.03.02.01.01 Rows{Z}@ForceFilingCode:false","")</f>
        <v/>
      </c>
    </row>
    <row r="1379" spans="1:2">
      <c r="A1379" t="str">
        <f>IF(AND(LEFT('SE.01.01.18'!$D$23,8)&lt;&gt;"Reported",'SE.01.01.18'!$D$23&lt;&gt;""),Show!$B$19 &amp; "S.03.03.01.01 Rows{Z}@ForceFilingCode:false","")</f>
        <v/>
      </c>
      <c r="B1379" t="str">
        <f>IF(AND(LEFT('SE.01.01.18'!$D$23,8)&lt;&gt;"Reported",'SE.01.01.18'!$D$23&lt;&gt;""),Show!$B$19&amp; Show!$B$19&amp;"S.03.03.01.01 Rows{Z}@ForceFilingCode:false","")</f>
        <v/>
      </c>
    </row>
    <row r="1380" spans="1:2">
      <c r="A1380" t="str">
        <f>IF(AND(LEFT('SE.01.01.18'!$D$24,8)&lt;&gt;"Reported",'SE.01.01.18'!$D$24&lt;&gt;""),Show!$B$19 &amp; "S.05.01.01.01 Rows{Z}@ForceFilingCode:false","")</f>
        <v/>
      </c>
      <c r="B1380" t="str">
        <f>IF(AND(LEFT('SE.01.01.18'!$D$24,8)&lt;&gt;"Reported",'SE.01.01.18'!$D$24&lt;&gt;""),Show!$B$19&amp; Show!$B$19&amp;"S.05.01.01.01 Rows{Z}@ForceFilingCode:false","")</f>
        <v/>
      </c>
    </row>
    <row r="1381" spans="1:2">
      <c r="A1381" t="str">
        <f>IF(AND(LEFT('SE.01.01.18'!$D$24,8)&lt;&gt;"Reported",'SE.01.01.18'!$D$24&lt;&gt;""),Show!$B$19 &amp; "S.05.01.01.02 Rows{Z}@ForceFilingCode:false","")</f>
        <v/>
      </c>
      <c r="B1381" t="str">
        <f>IF(AND(LEFT('SE.01.01.18'!$D$24,8)&lt;&gt;"Reported",'SE.01.01.18'!$D$24&lt;&gt;""),Show!$B$19&amp; Show!$B$19&amp;"S.05.01.01.02 Rows{Z}@ForceFilingCode:false","")</f>
        <v/>
      </c>
    </row>
    <row r="1382" spans="1:2">
      <c r="A1382" t="str">
        <f>IF(AND(LEFT('SE.01.01.18'!$D$25,8)&lt;&gt;"Reported",'SE.01.01.18'!$D$25&lt;&gt;""),Show!$B$19 &amp; "S.05.02.01.01 Rows{Z}@ForceFilingCode:false","")</f>
        <v/>
      </c>
      <c r="B1382" t="str">
        <f>IF(AND(LEFT('SE.01.01.18'!$D$25,8)&lt;&gt;"Reported",'SE.01.01.18'!$D$25&lt;&gt;""),Show!$B$19&amp; Show!$B$19&amp;"S.05.02.01.01 Rows{Z}@ForceFilingCode:false","")</f>
        <v/>
      </c>
    </row>
    <row r="1383" spans="1:2">
      <c r="A1383" t="str">
        <f>IF(AND(LEFT('SE.01.01.18'!$D$25,8)&lt;&gt;"Reported",'SE.01.01.18'!$D$25&lt;&gt;""),Show!$B$19 &amp; "S.05.02.01.02 Rows{Z}@ForceFilingCode:false","")</f>
        <v/>
      </c>
      <c r="B1383" t="str">
        <f>IF(AND(LEFT('SE.01.01.18'!$D$25,8)&lt;&gt;"Reported",'SE.01.01.18'!$D$25&lt;&gt;""),Show!$B$19&amp; Show!$B$19&amp;"S.05.02.01.02 Rows{Z}@ForceFilingCode:false","")</f>
        <v/>
      </c>
    </row>
    <row r="1384" spans="1:2">
      <c r="A1384" t="str">
        <f>IF(AND(LEFT('SE.01.01.18'!$D$25,8)&lt;&gt;"Reported",'SE.01.01.18'!$D$25&lt;&gt;""),Show!$B$19 &amp; "S.05.02.01.03 Rows{Z}@ForceFilingCode:false","")</f>
        <v/>
      </c>
      <c r="B1384" t="str">
        <f>IF(AND(LEFT('SE.01.01.18'!$D$25,8)&lt;&gt;"Reported",'SE.01.01.18'!$D$25&lt;&gt;""),Show!$B$19&amp; Show!$B$19&amp;"S.05.02.01.03 Rows{Z}@ForceFilingCode:false","")</f>
        <v/>
      </c>
    </row>
    <row r="1385" spans="1:2">
      <c r="A1385" t="str">
        <f>IF(AND(LEFT('SE.01.01.18'!$D$25,8)&lt;&gt;"Reported",'SE.01.01.18'!$D$25&lt;&gt;""),Show!$B$19 &amp; "S.05.02.01.04 Rows{Z}@ForceFilingCode:false","")</f>
        <v/>
      </c>
      <c r="B1385" t="str">
        <f>IF(AND(LEFT('SE.01.01.18'!$D$25,8)&lt;&gt;"Reported",'SE.01.01.18'!$D$25&lt;&gt;""),Show!$B$19&amp; Show!$B$19&amp;"S.05.02.01.04 Rows{Z}@ForceFilingCode:false","")</f>
        <v/>
      </c>
    </row>
    <row r="1386" spans="1:2">
      <c r="A1386" t="str">
        <f>IF(AND(LEFT('SE.01.01.18'!$D$25,8)&lt;&gt;"Reported",'SE.01.01.18'!$D$25&lt;&gt;""),Show!$B$19 &amp; "S.05.02.01.05 Rows{Z}@ForceFilingCode:false","")</f>
        <v/>
      </c>
      <c r="B1386" t="str">
        <f>IF(AND(LEFT('SE.01.01.18'!$D$25,8)&lt;&gt;"Reported",'SE.01.01.18'!$D$25&lt;&gt;""),Show!$B$19&amp; Show!$B$19&amp;"S.05.02.01.05 Rows{Z}@ForceFilingCode:false","")</f>
        <v/>
      </c>
    </row>
    <row r="1387" spans="1:2">
      <c r="A1387" t="str">
        <f>IF(AND(LEFT('SE.01.01.18'!$D$25,8)&lt;&gt;"Reported",'SE.01.01.18'!$D$25&lt;&gt;""),Show!$B$19 &amp; "S.05.02.01.06 Rows{Z}@ForceFilingCode:false","")</f>
        <v/>
      </c>
      <c r="B1387" t="str">
        <f>IF(AND(LEFT('SE.01.01.18'!$D$25,8)&lt;&gt;"Reported",'SE.01.01.18'!$D$25&lt;&gt;""),Show!$B$19&amp; Show!$B$19&amp;"S.05.02.01.06 Rows{Z}@ForceFilingCode:false","")</f>
        <v/>
      </c>
    </row>
    <row r="1388" spans="1:2">
      <c r="A1388" t="str">
        <f>IF(AND(LEFT('SE.01.01.18'!$D$26,8)&lt;&gt;"Reported",'SE.01.01.18'!$D$26&lt;&gt;""),Show!$B$19 &amp; "SE.06.02.18.01 Rows{Z}@ForceFilingCode:false","")</f>
        <v/>
      </c>
      <c r="B1388" t="str">
        <f>IF(AND(LEFT('SE.01.01.18'!$D$26,8)&lt;&gt;"Reported",'SE.01.01.18'!$D$26&lt;&gt;""),Show!$B$19&amp; Show!$B$19&amp;"SE.06.02.18.01 Rows{Z}@ForceFilingCode:false","")</f>
        <v/>
      </c>
    </row>
    <row r="1389" spans="1:2">
      <c r="A1389" t="str">
        <f>IF(AND(LEFT('SE.01.01.18'!$D$26,8)&lt;&gt;"Reported",'SE.01.01.18'!$D$26&lt;&gt;""),Show!$B$19 &amp; "SE.06.02.18.02 Rows{Z}@ForceFilingCode:false","")</f>
        <v/>
      </c>
      <c r="B1389" t="str">
        <f>IF(AND(LEFT('SE.01.01.18'!$D$26,8)&lt;&gt;"Reported",'SE.01.01.18'!$D$26&lt;&gt;""),Show!$B$19&amp; Show!$B$19&amp;"SE.06.02.18.02 Rows{Z}@ForceFilingCode:false","")</f>
        <v/>
      </c>
    </row>
    <row r="1390" spans="1:2">
      <c r="A1390" t="str">
        <f>IF(AND(LEFT('SE.01.01.18'!$D$27,8)&lt;&gt;"Reported",'SE.01.01.18'!$D$27&lt;&gt;""),Show!$B$19 &amp; "S.06.03.01.01 Rows{Z}@ForceFilingCode:false","")</f>
        <v/>
      </c>
      <c r="B1390" t="str">
        <f>IF(AND(LEFT('SE.01.01.18'!$D$27,8)&lt;&gt;"Reported",'SE.01.01.18'!$D$27&lt;&gt;""),Show!$B$19&amp; Show!$B$19&amp;"S.06.03.01.01 Rows{Z}@ForceFilingCode:false","")</f>
        <v/>
      </c>
    </row>
    <row r="1391" spans="1:2">
      <c r="A1391" t="str">
        <f>IF(AND(LEFT('SE.01.01.18'!$D$28,8)&lt;&gt;"Reported",'SE.01.01.18'!$D$28&lt;&gt;""),Show!$B$19 &amp; "S.07.01.01.01 Rows{Z}@ForceFilingCode:false","")</f>
        <v/>
      </c>
      <c r="B1391" t="str">
        <f>IF(AND(LEFT('SE.01.01.18'!$D$28,8)&lt;&gt;"Reported",'SE.01.01.18'!$D$28&lt;&gt;""),Show!$B$19&amp; Show!$B$19&amp;"S.07.01.01.01 Rows{Z}@ForceFilingCode:false","")</f>
        <v/>
      </c>
    </row>
    <row r="1392" spans="1:2">
      <c r="A1392" t="str">
        <f>IF(AND(LEFT('SE.01.01.18'!$D$29,8)&lt;&gt;"Reported",'SE.01.01.18'!$D$29&lt;&gt;""),Show!$B$19 &amp; "S.08.01.01.01 Rows{Z}@ForceFilingCode:false","")</f>
        <v/>
      </c>
      <c r="B1392" t="str">
        <f>IF(AND(LEFT('SE.01.01.18'!$D$29,8)&lt;&gt;"Reported",'SE.01.01.18'!$D$29&lt;&gt;""),Show!$B$19&amp; Show!$B$19&amp;"S.08.01.01.01 Rows{Z}@ForceFilingCode:false","")</f>
        <v/>
      </c>
    </row>
    <row r="1393" spans="1:2">
      <c r="A1393" t="str">
        <f>IF(AND(LEFT('SE.01.01.18'!$D$29,8)&lt;&gt;"Reported",'SE.01.01.18'!$D$29&lt;&gt;""),Show!$B$19 &amp; "S.08.01.01.02 Rows{Z}@ForceFilingCode:false","")</f>
        <v/>
      </c>
      <c r="B1393" t="str">
        <f>IF(AND(LEFT('SE.01.01.18'!$D$29,8)&lt;&gt;"Reported",'SE.01.01.18'!$D$29&lt;&gt;""),Show!$B$19&amp; Show!$B$19&amp;"S.08.01.01.02 Rows{Z}@ForceFilingCode:false","")</f>
        <v/>
      </c>
    </row>
    <row r="1394" spans="1:2">
      <c r="A1394" t="str">
        <f>IF(AND(LEFT('SE.01.01.18'!$D$30,8)&lt;&gt;"Reported",'SE.01.01.18'!$D$30&lt;&gt;""),Show!$B$19 &amp; "S.08.02.01.01 Rows{Z}@ForceFilingCode:false","")</f>
        <v/>
      </c>
      <c r="B1394" t="str">
        <f>IF(AND(LEFT('SE.01.01.18'!$D$30,8)&lt;&gt;"Reported",'SE.01.01.18'!$D$30&lt;&gt;""),Show!$B$19&amp; Show!$B$19&amp;"S.08.02.01.01 Rows{Z}@ForceFilingCode:false","")</f>
        <v/>
      </c>
    </row>
    <row r="1395" spans="1:2">
      <c r="A1395" t="str">
        <f>IF(AND(LEFT('SE.01.01.18'!$D$30,8)&lt;&gt;"Reported",'SE.01.01.18'!$D$30&lt;&gt;""),Show!$B$19 &amp; "S.08.02.01.02 Rows{Z}@ForceFilingCode:false","")</f>
        <v/>
      </c>
      <c r="B1395" t="str">
        <f>IF(AND(LEFT('SE.01.01.18'!$D$30,8)&lt;&gt;"Reported",'SE.01.01.18'!$D$30&lt;&gt;""),Show!$B$19&amp; Show!$B$19&amp;"S.08.02.01.02 Rows{Z}@ForceFilingCode:false","")</f>
        <v/>
      </c>
    </row>
    <row r="1396" spans="1:2">
      <c r="A1396" t="str">
        <f>IF(AND(LEFT('SE.01.01.18'!$D$31,8)&lt;&gt;"Reported",'SE.01.01.18'!$D$31&lt;&gt;""),Show!$B$19 &amp; "S.09.01.01.01 Rows{Z}@ForceFilingCode:false","")</f>
        <v/>
      </c>
      <c r="B1396" t="str">
        <f>IF(AND(LEFT('SE.01.01.18'!$D$31,8)&lt;&gt;"Reported",'SE.01.01.18'!$D$31&lt;&gt;""),Show!$B$19&amp; Show!$B$19&amp;"S.09.01.01.01 Rows{Z}@ForceFilingCode:false","")</f>
        <v/>
      </c>
    </row>
    <row r="1397" spans="1:2">
      <c r="A1397" t="str">
        <f>IF(AND(LEFT('SE.01.01.18'!$D$32,8)&lt;&gt;"Reported",'SE.01.01.18'!$D$32&lt;&gt;""),Show!$B$19 &amp; "S.10.01.01.01 Rows{Z}@ForceFilingCode:false","")</f>
        <v/>
      </c>
      <c r="B1397" t="str">
        <f>IF(AND(LEFT('SE.01.01.18'!$D$32,8)&lt;&gt;"Reported",'SE.01.01.18'!$D$32&lt;&gt;""),Show!$B$19&amp; Show!$B$19&amp;"S.10.01.01.01 Rows{Z}@ForceFilingCode:false","")</f>
        <v/>
      </c>
    </row>
    <row r="1398" spans="1:2">
      <c r="A1398" t="str">
        <f>IF(AND(LEFT('SE.01.01.18'!$D$33,8)&lt;&gt;"Reported",'SE.01.01.18'!$D$33&lt;&gt;""),Show!$B$19 &amp; "S.11.01.01.01 Rows{Z}@ForceFilingCode:false","")</f>
        <v/>
      </c>
      <c r="B1398" t="str">
        <f>IF(AND(LEFT('SE.01.01.18'!$D$33,8)&lt;&gt;"Reported",'SE.01.01.18'!$D$33&lt;&gt;""),Show!$B$19&amp; Show!$B$19&amp;"S.11.01.01.01 Rows{Z}@ForceFilingCode:false","")</f>
        <v/>
      </c>
    </row>
    <row r="1399" spans="1:2">
      <c r="A1399" t="str">
        <f>IF(AND(LEFT('SE.01.01.18'!$D$33,8)&lt;&gt;"Reported",'SE.01.01.18'!$D$33&lt;&gt;""),Show!$B$19 &amp; "S.11.01.01.02 Rows{Z}@ForceFilingCode:false","")</f>
        <v/>
      </c>
      <c r="B1399" t="str">
        <f>IF(AND(LEFT('SE.01.01.18'!$D$33,8)&lt;&gt;"Reported",'SE.01.01.18'!$D$33&lt;&gt;""),Show!$B$19&amp; Show!$B$19&amp;"S.11.01.01.02 Rows{Z}@ForceFilingCode:false","")</f>
        <v/>
      </c>
    </row>
    <row r="1400" spans="1:2">
      <c r="A1400" t="str">
        <f>IF(AND(LEFT('SE.01.01.18'!$D$34,8)&lt;&gt;"Reported",'SE.01.01.18'!$D$34&lt;&gt;""),Show!$B$19 &amp; "S.12.01.01.01 Rows{Z}@ForceFilingCode:false","")</f>
        <v/>
      </c>
      <c r="B1400" t="str">
        <f>IF(AND(LEFT('SE.01.01.18'!$D$34,8)&lt;&gt;"Reported",'SE.01.01.18'!$D$34&lt;&gt;""),Show!$B$19&amp; Show!$B$19&amp;"S.12.01.01.01 Rows{Z}@ForceFilingCode:false","")</f>
        <v/>
      </c>
    </row>
    <row r="1401" spans="1:2">
      <c r="A1401" t="str">
        <f>IF(AND(LEFT('SE.01.01.18'!$D$35,8)&lt;&gt;"Reported",'SE.01.01.18'!$D$35&lt;&gt;""),Show!$B$19 &amp; "S.12.02.01.01 Rows{Z}@ForceFilingCode:false","")</f>
        <v/>
      </c>
      <c r="B1401" t="str">
        <f>IF(AND(LEFT('SE.01.01.18'!$D$35,8)&lt;&gt;"Reported",'SE.01.01.18'!$D$35&lt;&gt;""),Show!$B$19&amp; Show!$B$19&amp;"S.12.02.01.01 Rows{Z}@ForceFilingCode:false","")</f>
        <v/>
      </c>
    </row>
    <row r="1402" spans="1:2">
      <c r="A1402" t="str">
        <f>IF(AND(LEFT('SE.01.01.18'!$D$35,8)&lt;&gt;"Reported",'SE.01.01.18'!$D$35&lt;&gt;""),Show!$B$19 &amp; "S.12.02.01.02 Rows{Z}@ForceFilingCode:false","")</f>
        <v/>
      </c>
      <c r="B1402" t="str">
        <f>IF(AND(LEFT('SE.01.01.18'!$D$35,8)&lt;&gt;"Reported",'SE.01.01.18'!$D$35&lt;&gt;""),Show!$B$19&amp; Show!$B$19&amp;"S.12.02.01.02 Rows{Z}@ForceFilingCode:false","")</f>
        <v/>
      </c>
    </row>
    <row r="1403" spans="1:2">
      <c r="A1403" t="str">
        <f>IF(AND(LEFT('SE.01.01.18'!$D$36,8)&lt;&gt;"Reported",'SE.01.01.18'!$D$36&lt;&gt;""),Show!$B$19 &amp; "S.13.01.01.01 Rows{Z}@ForceFilingCode:false","")</f>
        <v/>
      </c>
      <c r="B1403" t="str">
        <f>IF(AND(LEFT('SE.01.01.18'!$D$36,8)&lt;&gt;"Reported",'SE.01.01.18'!$D$36&lt;&gt;""),Show!$B$19&amp; Show!$B$19&amp;"S.13.01.01.01 Rows{Z}@ForceFilingCode:false","")</f>
        <v/>
      </c>
    </row>
    <row r="1404" spans="1:2">
      <c r="A1404" t="str">
        <f>IF(AND(LEFT('SE.01.01.18'!$D$37,8)&lt;&gt;"Reported",'SE.01.01.18'!$D$37&lt;&gt;""),Show!$B$19 &amp; "S.14.01.01.01 Rows{Z}@ForceFilingCode:false","")</f>
        <v/>
      </c>
      <c r="B1404" t="str">
        <f>IF(AND(LEFT('SE.01.01.18'!$D$37,8)&lt;&gt;"Reported",'SE.01.01.18'!$D$37&lt;&gt;""),Show!$B$19&amp; Show!$B$19&amp;"S.14.01.01.01 Rows{Z}@ForceFilingCode:false","")</f>
        <v/>
      </c>
    </row>
    <row r="1405" spans="1:2">
      <c r="A1405" t="str">
        <f>IF(AND(LEFT('SE.01.01.18'!$D$37,8)&lt;&gt;"Reported",'SE.01.01.18'!$D$37&lt;&gt;""),Show!$B$19 &amp; "S.14.01.01.02 Rows{Z}@ForceFilingCode:false","")</f>
        <v/>
      </c>
      <c r="B1405" t="str">
        <f>IF(AND(LEFT('SE.01.01.18'!$D$37,8)&lt;&gt;"Reported",'SE.01.01.18'!$D$37&lt;&gt;""),Show!$B$19&amp; Show!$B$19&amp;"S.14.01.01.02 Rows{Z}@ForceFilingCode:false","")</f>
        <v/>
      </c>
    </row>
    <row r="1406" spans="1:2">
      <c r="A1406" t="str">
        <f>IF(AND(LEFT('SE.01.01.18'!$D$37,8)&lt;&gt;"Reported",'SE.01.01.18'!$D$37&lt;&gt;""),Show!$B$19 &amp; "S.14.01.01.03 Rows{Z}@ForceFilingCode:false","")</f>
        <v/>
      </c>
      <c r="B1406" t="str">
        <f>IF(AND(LEFT('SE.01.01.18'!$D$37,8)&lt;&gt;"Reported",'SE.01.01.18'!$D$37&lt;&gt;""),Show!$B$19&amp; Show!$B$19&amp;"S.14.01.01.03 Rows{Z}@ForceFilingCode:false","")</f>
        <v/>
      </c>
    </row>
    <row r="1407" spans="1:2">
      <c r="A1407" t="str">
        <f>IF(AND(LEFT('SE.01.01.18'!$D$37,8)&lt;&gt;"Reported",'SE.01.01.18'!$D$37&lt;&gt;""),Show!$B$19 &amp; "S.14.01.01.04 Rows{Z}@ForceFilingCode:false","")</f>
        <v/>
      </c>
      <c r="B1407" t="str">
        <f>IF(AND(LEFT('SE.01.01.18'!$D$37,8)&lt;&gt;"Reported",'SE.01.01.18'!$D$37&lt;&gt;""),Show!$B$19&amp; Show!$B$19&amp;"S.14.01.01.04 Rows{Z}@ForceFilingCode:false","")</f>
        <v/>
      </c>
    </row>
    <row r="1408" spans="1:2">
      <c r="A1408" t="str">
        <f>IF(AND(LEFT('SE.01.01.18'!$D$38,8)&lt;&gt;"Reported",'SE.01.01.18'!$D$38&lt;&gt;""),Show!$B$19 &amp; "S.15.01.01.01 Rows{Z}@ForceFilingCode:false","")</f>
        <v/>
      </c>
      <c r="B1408" t="str">
        <f>IF(AND(LEFT('SE.01.01.18'!$D$38,8)&lt;&gt;"Reported",'SE.01.01.18'!$D$38&lt;&gt;""),Show!$B$19&amp; Show!$B$19&amp;"S.15.01.01.01 Rows{Z}@ForceFilingCode:false","")</f>
        <v/>
      </c>
    </row>
    <row r="1409" spans="1:2">
      <c r="A1409" t="str">
        <f>IF(AND(LEFT('SE.01.01.18'!$D$39,8)&lt;&gt;"Reported",'SE.01.01.18'!$D$39&lt;&gt;""),Show!$B$19 &amp; "S.15.02.01.01 Rows{Z}@ForceFilingCode:false","")</f>
        <v/>
      </c>
      <c r="B1409" t="str">
        <f>IF(AND(LEFT('SE.01.01.18'!$D$39,8)&lt;&gt;"Reported",'SE.01.01.18'!$D$39&lt;&gt;""),Show!$B$19&amp; Show!$B$19&amp;"S.15.02.01.01 Rows{Z}@ForceFilingCode:false","")</f>
        <v/>
      </c>
    </row>
    <row r="1410" spans="1:2">
      <c r="A1410" t="str">
        <f>IF(AND(LEFT('SE.01.01.18'!$D$40,8)&lt;&gt;"Reported",'SE.01.01.18'!$D$40&lt;&gt;""),Show!$B$19 &amp; "S.16.01.01.01 Rows{Z}@ForceFilingCode:false","")</f>
        <v/>
      </c>
      <c r="B1410" t="str">
        <f>IF(AND(LEFT('SE.01.01.18'!$D$40,8)&lt;&gt;"Reported",'SE.01.01.18'!$D$40&lt;&gt;""),Show!$B$19&amp; Show!$B$19&amp;"S.16.01.01.01 Rows{Z}@ForceFilingCode:false","")</f>
        <v/>
      </c>
    </row>
    <row r="1411" spans="1:2">
      <c r="A1411" t="str">
        <f>IF(AND(LEFT('SE.01.01.18'!$D$40,8)&lt;&gt;"Reported",'SE.01.01.18'!$D$40&lt;&gt;""),Show!$B$19 &amp; "S.16.01.01.02 Rows{Z}@ForceFilingCode:false","")</f>
        <v/>
      </c>
      <c r="B1411" t="str">
        <f>IF(AND(LEFT('SE.01.01.18'!$D$40,8)&lt;&gt;"Reported",'SE.01.01.18'!$D$40&lt;&gt;""),Show!$B$19&amp; Show!$B$19&amp;"S.16.01.01.02 Rows{Z}@ForceFilingCode:false","")</f>
        <v/>
      </c>
    </row>
    <row r="1412" spans="1:2">
      <c r="A1412" t="str">
        <f>IF(AND(LEFT('SE.01.01.18'!$D$41,8)&lt;&gt;"Reported",'SE.01.01.18'!$D$41&lt;&gt;""),Show!$B$19 &amp; "S.17.01.01.01 Rows{Z}@ForceFilingCode:false","")</f>
        <v/>
      </c>
      <c r="B1412" t="str">
        <f>IF(AND(LEFT('SE.01.01.18'!$D$41,8)&lt;&gt;"Reported",'SE.01.01.18'!$D$41&lt;&gt;""),Show!$B$19&amp; Show!$B$19&amp;"S.17.01.01.01 Rows{Z}@ForceFilingCode:false","")</f>
        <v/>
      </c>
    </row>
    <row r="1413" spans="1:2">
      <c r="A1413" t="str">
        <f>IF(AND(LEFT('SE.01.01.18'!$D$42,8)&lt;&gt;"Reported",'SE.01.01.18'!$D$42&lt;&gt;""),Show!$B$19 &amp; "S.17.02.01.01 Rows{Z}@ForceFilingCode:false","")</f>
        <v/>
      </c>
      <c r="B1413" t="str">
        <f>IF(AND(LEFT('SE.01.01.18'!$D$42,8)&lt;&gt;"Reported",'SE.01.01.18'!$D$42&lt;&gt;""),Show!$B$19&amp; Show!$B$19&amp;"S.17.02.01.01 Rows{Z}@ForceFilingCode:false","")</f>
        <v/>
      </c>
    </row>
    <row r="1414" spans="1:2">
      <c r="A1414" t="str">
        <f>IF(AND(LEFT('SE.01.01.18'!$D$42,8)&lt;&gt;"Reported",'SE.01.01.18'!$D$42&lt;&gt;""),Show!$B$19 &amp; "S.17.02.01.02 Rows{Z}@ForceFilingCode:false","")</f>
        <v/>
      </c>
      <c r="B1414" t="str">
        <f>IF(AND(LEFT('SE.01.01.18'!$D$42,8)&lt;&gt;"Reported",'SE.01.01.18'!$D$42&lt;&gt;""),Show!$B$19&amp; Show!$B$19&amp;"S.17.02.01.02 Rows{Z}@ForceFilingCode:false","")</f>
        <v/>
      </c>
    </row>
    <row r="1415" spans="1:2">
      <c r="A1415" t="str">
        <f>IF(AND(LEFT('SE.01.01.18'!$D$43,8)&lt;&gt;"Reported",'SE.01.01.18'!$D$43&lt;&gt;""),Show!$B$19 &amp; "S.18.01.01.01 Rows{Z}@ForceFilingCode:false","")</f>
        <v/>
      </c>
      <c r="B1415" t="str">
        <f>IF(AND(LEFT('SE.01.01.18'!$D$43,8)&lt;&gt;"Reported",'SE.01.01.18'!$D$43&lt;&gt;""),Show!$B$19&amp; Show!$B$19&amp;"S.18.01.01.01 Rows{Z}@ForceFilingCode:false","")</f>
        <v/>
      </c>
    </row>
    <row r="1416" spans="1:2">
      <c r="A1416" t="str">
        <f>IF(AND(LEFT('SE.01.01.18'!$D$44,8)&lt;&gt;"Reported",'SE.01.01.18'!$D$44&lt;&gt;""),Show!$B$19 &amp; "S.19.01.01.01 Rows{Z}@ForceFilingCode:false","")</f>
        <v/>
      </c>
      <c r="B1416" t="str">
        <f>IF(AND(LEFT('SE.01.01.18'!$D$44,8)&lt;&gt;"Reported",'SE.01.01.18'!$D$44&lt;&gt;""),Show!$B$19&amp; Show!$B$19&amp;"S.19.01.01.01 Rows{Z}@ForceFilingCode:false","")</f>
        <v/>
      </c>
    </row>
    <row r="1417" spans="1:2">
      <c r="A1417" t="str">
        <f>IF(AND(LEFT('SE.01.01.18'!$D$44,8)&lt;&gt;"Reported",'SE.01.01.18'!$D$44&lt;&gt;""),Show!$B$19 &amp; "S.19.01.01.02 Rows{Z}@ForceFilingCode:false","")</f>
        <v/>
      </c>
      <c r="B1417" t="str">
        <f>IF(AND(LEFT('SE.01.01.18'!$D$44,8)&lt;&gt;"Reported",'SE.01.01.18'!$D$44&lt;&gt;""),Show!$B$19&amp; Show!$B$19&amp;"S.19.01.01.02 Rows{Z}@ForceFilingCode:false","")</f>
        <v/>
      </c>
    </row>
    <row r="1418" spans="1:2">
      <c r="A1418" t="str">
        <f>IF(AND(LEFT('SE.01.01.18'!$D$44,8)&lt;&gt;"Reported",'SE.01.01.18'!$D$44&lt;&gt;""),Show!$B$19 &amp; "S.19.01.01.03 Rows{Z}@ForceFilingCode:false","")</f>
        <v/>
      </c>
      <c r="B1418" t="str">
        <f>IF(AND(LEFT('SE.01.01.18'!$D$44,8)&lt;&gt;"Reported",'SE.01.01.18'!$D$44&lt;&gt;""),Show!$B$19&amp; Show!$B$19&amp;"S.19.01.01.03 Rows{Z}@ForceFilingCode:false","")</f>
        <v/>
      </c>
    </row>
    <row r="1419" spans="1:2">
      <c r="A1419" t="str">
        <f>IF(AND(LEFT('SE.01.01.18'!$D$44,8)&lt;&gt;"Reported",'SE.01.01.18'!$D$44&lt;&gt;""),Show!$B$19 &amp; "S.19.01.01.04 Rows{Z}@ForceFilingCode:false","")</f>
        <v/>
      </c>
      <c r="B1419" t="str">
        <f>IF(AND(LEFT('SE.01.01.18'!$D$44,8)&lt;&gt;"Reported",'SE.01.01.18'!$D$44&lt;&gt;""),Show!$B$19&amp; Show!$B$19&amp;"S.19.01.01.04 Rows{Z}@ForceFilingCode:false","")</f>
        <v/>
      </c>
    </row>
    <row r="1420" spans="1:2">
      <c r="A1420" t="str">
        <f>IF(AND(LEFT('SE.01.01.18'!$D$44,8)&lt;&gt;"Reported",'SE.01.01.18'!$D$44&lt;&gt;""),Show!$B$19 &amp; "S.19.01.01.05 Rows{Z}@ForceFilingCode:false","")</f>
        <v/>
      </c>
      <c r="B1420" t="str">
        <f>IF(AND(LEFT('SE.01.01.18'!$D$44,8)&lt;&gt;"Reported",'SE.01.01.18'!$D$44&lt;&gt;""),Show!$B$19&amp; Show!$B$19&amp;"S.19.01.01.05 Rows{Z}@ForceFilingCode:false","")</f>
        <v/>
      </c>
    </row>
    <row r="1421" spans="1:2">
      <c r="A1421" t="str">
        <f>IF(AND(LEFT('SE.01.01.18'!$D$44,8)&lt;&gt;"Reported",'SE.01.01.18'!$D$44&lt;&gt;""),Show!$B$19 &amp; "S.19.01.01.06 Rows{Z}@ForceFilingCode:false","")</f>
        <v/>
      </c>
      <c r="B1421" t="str">
        <f>IF(AND(LEFT('SE.01.01.18'!$D$44,8)&lt;&gt;"Reported",'SE.01.01.18'!$D$44&lt;&gt;""),Show!$B$19&amp; Show!$B$19&amp;"S.19.01.01.06 Rows{Z}@ForceFilingCode:false","")</f>
        <v/>
      </c>
    </row>
    <row r="1422" spans="1:2">
      <c r="A1422" t="str">
        <f>IF(AND(LEFT('SE.01.01.18'!$D$44,8)&lt;&gt;"Reported",'SE.01.01.18'!$D$44&lt;&gt;""),Show!$B$19 &amp; "S.19.01.01.07 Rows{Z}@ForceFilingCode:false","")</f>
        <v/>
      </c>
      <c r="B1422" t="str">
        <f>IF(AND(LEFT('SE.01.01.18'!$D$44,8)&lt;&gt;"Reported",'SE.01.01.18'!$D$44&lt;&gt;""),Show!$B$19&amp; Show!$B$19&amp;"S.19.01.01.07 Rows{Z}@ForceFilingCode:false","")</f>
        <v/>
      </c>
    </row>
    <row r="1423" spans="1:2">
      <c r="A1423" t="str">
        <f>IF(AND(LEFT('SE.01.01.18'!$D$44,8)&lt;&gt;"Reported",'SE.01.01.18'!$D$44&lt;&gt;""),Show!$B$19 &amp; "S.19.01.01.08 Rows{Z}@ForceFilingCode:false","")</f>
        <v/>
      </c>
      <c r="B1423" t="str">
        <f>IF(AND(LEFT('SE.01.01.18'!$D$44,8)&lt;&gt;"Reported",'SE.01.01.18'!$D$44&lt;&gt;""),Show!$B$19&amp; Show!$B$19&amp;"S.19.01.01.08 Rows{Z}@ForceFilingCode:false","")</f>
        <v/>
      </c>
    </row>
    <row r="1424" spans="1:2">
      <c r="A1424" t="str">
        <f>IF(AND(LEFT('SE.01.01.18'!$D$44,8)&lt;&gt;"Reported",'SE.01.01.18'!$D$44&lt;&gt;""),Show!$B$19 &amp; "S.19.01.01.09 Rows{Z}@ForceFilingCode:false","")</f>
        <v/>
      </c>
      <c r="B1424" t="str">
        <f>IF(AND(LEFT('SE.01.01.18'!$D$44,8)&lt;&gt;"Reported",'SE.01.01.18'!$D$44&lt;&gt;""),Show!$B$19&amp; Show!$B$19&amp;"S.19.01.01.09 Rows{Z}@ForceFilingCode:false","")</f>
        <v/>
      </c>
    </row>
    <row r="1425" spans="1:2">
      <c r="A1425" t="str">
        <f>IF(AND(LEFT('SE.01.01.18'!$D$44,8)&lt;&gt;"Reported",'SE.01.01.18'!$D$44&lt;&gt;""),Show!$B$19 &amp; "S.19.01.01.10 Rows{Z}@ForceFilingCode:false","")</f>
        <v/>
      </c>
      <c r="B1425" t="str">
        <f>IF(AND(LEFT('SE.01.01.18'!$D$44,8)&lt;&gt;"Reported",'SE.01.01.18'!$D$44&lt;&gt;""),Show!$B$19&amp; Show!$B$19&amp;"S.19.01.01.10 Rows{Z}@ForceFilingCode:false","")</f>
        <v/>
      </c>
    </row>
    <row r="1426" spans="1:2">
      <c r="A1426" t="str">
        <f>IF(AND(LEFT('SE.01.01.18'!$D$44,8)&lt;&gt;"Reported",'SE.01.01.18'!$D$44&lt;&gt;""),Show!$B$19 &amp; "S.19.01.01.11 Rows{Z}@ForceFilingCode:false","")</f>
        <v/>
      </c>
      <c r="B1426" t="str">
        <f>IF(AND(LEFT('SE.01.01.18'!$D$44,8)&lt;&gt;"Reported",'SE.01.01.18'!$D$44&lt;&gt;""),Show!$B$19&amp; Show!$B$19&amp;"S.19.01.01.11 Rows{Z}@ForceFilingCode:false","")</f>
        <v/>
      </c>
    </row>
    <row r="1427" spans="1:2">
      <c r="A1427" t="str">
        <f>IF(AND(LEFT('SE.01.01.18'!$D$44,8)&lt;&gt;"Reported",'SE.01.01.18'!$D$44&lt;&gt;""),Show!$B$19 &amp; "S.19.01.01.12 Rows{Z}@ForceFilingCode:false","")</f>
        <v/>
      </c>
      <c r="B1427" t="str">
        <f>IF(AND(LEFT('SE.01.01.18'!$D$44,8)&lt;&gt;"Reported",'SE.01.01.18'!$D$44&lt;&gt;""),Show!$B$19&amp; Show!$B$19&amp;"S.19.01.01.12 Rows{Z}@ForceFilingCode:false","")</f>
        <v/>
      </c>
    </row>
    <row r="1428" spans="1:2">
      <c r="A1428" t="str">
        <f>IF(AND(LEFT('SE.01.01.18'!$D$44,8)&lt;&gt;"Reported",'SE.01.01.18'!$D$44&lt;&gt;""),Show!$B$19 &amp; "S.19.01.01.13 Rows{Z}@ForceFilingCode:false","")</f>
        <v/>
      </c>
      <c r="B1428" t="str">
        <f>IF(AND(LEFT('SE.01.01.18'!$D$44,8)&lt;&gt;"Reported",'SE.01.01.18'!$D$44&lt;&gt;""),Show!$B$19&amp; Show!$B$19&amp;"S.19.01.01.13 Rows{Z}@ForceFilingCode:false","")</f>
        <v/>
      </c>
    </row>
    <row r="1429" spans="1:2">
      <c r="A1429" t="str">
        <f>IF(AND(LEFT('SE.01.01.18'!$D$44,8)&lt;&gt;"Reported",'SE.01.01.18'!$D$44&lt;&gt;""),Show!$B$19 &amp; "S.19.01.01.14 Rows{Z}@ForceFilingCode:false","")</f>
        <v/>
      </c>
      <c r="B1429" t="str">
        <f>IF(AND(LEFT('SE.01.01.18'!$D$44,8)&lt;&gt;"Reported",'SE.01.01.18'!$D$44&lt;&gt;""),Show!$B$19&amp; Show!$B$19&amp;"S.19.01.01.14 Rows{Z}@ForceFilingCode:false","")</f>
        <v/>
      </c>
    </row>
    <row r="1430" spans="1:2">
      <c r="A1430" t="str">
        <f>IF(AND(LEFT('SE.01.01.18'!$D$44,8)&lt;&gt;"Reported",'SE.01.01.18'!$D$44&lt;&gt;""),Show!$B$19 &amp; "S.19.01.01.15 Rows{Z}@ForceFilingCode:false","")</f>
        <v/>
      </c>
      <c r="B1430" t="str">
        <f>IF(AND(LEFT('SE.01.01.18'!$D$44,8)&lt;&gt;"Reported",'SE.01.01.18'!$D$44&lt;&gt;""),Show!$B$19&amp; Show!$B$19&amp;"S.19.01.01.15 Rows{Z}@ForceFilingCode:false","")</f>
        <v/>
      </c>
    </row>
    <row r="1431" spans="1:2">
      <c r="A1431" t="str">
        <f>IF(AND(LEFT('SE.01.01.18'!$D$44,8)&lt;&gt;"Reported",'SE.01.01.18'!$D$44&lt;&gt;""),Show!$B$19 &amp; "S.19.01.01.16 Rows{Z}@ForceFilingCode:false","")</f>
        <v/>
      </c>
      <c r="B1431" t="str">
        <f>IF(AND(LEFT('SE.01.01.18'!$D$44,8)&lt;&gt;"Reported",'SE.01.01.18'!$D$44&lt;&gt;""),Show!$B$19&amp; Show!$B$19&amp;"S.19.01.01.16 Rows{Z}@ForceFilingCode:false","")</f>
        <v/>
      </c>
    </row>
    <row r="1432" spans="1:2">
      <c r="A1432" t="str">
        <f>IF(AND(LEFT('SE.01.01.18'!$D$44,8)&lt;&gt;"Reported",'SE.01.01.18'!$D$44&lt;&gt;""),Show!$B$19 &amp; "S.19.01.01.17 Rows{Z}@ForceFilingCode:false","")</f>
        <v/>
      </c>
      <c r="B1432" t="str">
        <f>IF(AND(LEFT('SE.01.01.18'!$D$44,8)&lt;&gt;"Reported",'SE.01.01.18'!$D$44&lt;&gt;""),Show!$B$19&amp; Show!$B$19&amp;"S.19.01.01.17 Rows{Z}@ForceFilingCode:false","")</f>
        <v/>
      </c>
    </row>
    <row r="1433" spans="1:2">
      <c r="A1433" t="str">
        <f>IF(AND(LEFT('SE.01.01.18'!$D$44,8)&lt;&gt;"Reported",'SE.01.01.18'!$D$44&lt;&gt;""),Show!$B$19 &amp; "S.19.01.01.18 Rows{Z}@ForceFilingCode:false","")</f>
        <v/>
      </c>
      <c r="B1433" t="str">
        <f>IF(AND(LEFT('SE.01.01.18'!$D$44,8)&lt;&gt;"Reported",'SE.01.01.18'!$D$44&lt;&gt;""),Show!$B$19&amp; Show!$B$19&amp;"S.19.01.01.18 Rows{Z}@ForceFilingCode:false","")</f>
        <v/>
      </c>
    </row>
    <row r="1434" spans="1:2">
      <c r="A1434" t="str">
        <f>IF(AND(LEFT('SE.01.01.18'!$D$44,8)&lt;&gt;"Reported",'SE.01.01.18'!$D$44&lt;&gt;""),Show!$B$19 &amp; "S.19.01.01.19 Rows{Z}@ForceFilingCode:false","")</f>
        <v/>
      </c>
      <c r="B1434" t="str">
        <f>IF(AND(LEFT('SE.01.01.18'!$D$44,8)&lt;&gt;"Reported",'SE.01.01.18'!$D$44&lt;&gt;""),Show!$B$19&amp; Show!$B$19&amp;"S.19.01.01.19 Rows{Z}@ForceFilingCode:false","")</f>
        <v/>
      </c>
    </row>
    <row r="1435" spans="1:2">
      <c r="A1435" t="str">
        <f>IF(AND(LEFT('SE.01.01.18'!$D$44,8)&lt;&gt;"Reported",'SE.01.01.18'!$D$44&lt;&gt;""),Show!$B$19 &amp; "S.19.01.01.20 Rows{Z}@ForceFilingCode:false","")</f>
        <v/>
      </c>
      <c r="B1435" t="str">
        <f>IF(AND(LEFT('SE.01.01.18'!$D$44,8)&lt;&gt;"Reported",'SE.01.01.18'!$D$44&lt;&gt;""),Show!$B$19&amp; Show!$B$19&amp;"S.19.01.01.20 Rows{Z}@ForceFilingCode:false","")</f>
        <v/>
      </c>
    </row>
    <row r="1436" spans="1:2">
      <c r="A1436" t="str">
        <f>IF(AND(LEFT('SE.01.01.18'!$D$44,8)&lt;&gt;"Reported",'SE.01.01.18'!$D$44&lt;&gt;""),Show!$B$19 &amp; "S.19.01.01.21 Rows{Z}@ForceFilingCode:false","")</f>
        <v/>
      </c>
      <c r="B1436" t="str">
        <f>IF(AND(LEFT('SE.01.01.18'!$D$44,8)&lt;&gt;"Reported",'SE.01.01.18'!$D$44&lt;&gt;""),Show!$B$19&amp; Show!$B$19&amp;"S.19.01.01.21 Rows{Z}@ForceFilingCode:false","")</f>
        <v/>
      </c>
    </row>
    <row r="1437" spans="1:2">
      <c r="A1437" t="str">
        <f>IF(AND(LEFT('SE.01.01.18'!$D$45,8)&lt;&gt;"Reported",'SE.01.01.18'!$D$45&lt;&gt;""),Show!$B$19 &amp; "S.20.01.01.01 Rows{Z}@ForceFilingCode:false","")</f>
        <v/>
      </c>
      <c r="B1437" t="str">
        <f>IF(AND(LEFT('SE.01.01.18'!$D$45,8)&lt;&gt;"Reported",'SE.01.01.18'!$D$45&lt;&gt;""),Show!$B$19&amp; Show!$B$19&amp;"S.20.01.01.01 Rows{Z}@ForceFilingCode:false","")</f>
        <v/>
      </c>
    </row>
    <row r="1438" spans="1:2">
      <c r="A1438" t="str">
        <f>IF(AND(LEFT('SE.01.01.18'!$D$46,8)&lt;&gt;"Reported",'SE.01.01.18'!$D$46&lt;&gt;""),Show!$B$19 &amp; "S.21.01.01.01 Rows{Z}@ForceFilingCode:false","")</f>
        <v/>
      </c>
      <c r="B1438" t="str">
        <f>IF(AND(LEFT('SE.01.01.18'!$D$46,8)&lt;&gt;"Reported",'SE.01.01.18'!$D$46&lt;&gt;""),Show!$B$19&amp; Show!$B$19&amp;"S.21.01.01.01 Rows{Z}@ForceFilingCode:false","")</f>
        <v/>
      </c>
    </row>
    <row r="1439" spans="1:2">
      <c r="A1439" t="str">
        <f>IF(AND(LEFT('SE.01.01.18'!$D$47,8)&lt;&gt;"Reported",'SE.01.01.18'!$D$47&lt;&gt;""),Show!$B$19 &amp; "S.21.02.01.01 Rows{Z}@ForceFilingCode:false","")</f>
        <v/>
      </c>
      <c r="B1439" t="str">
        <f>IF(AND(LEFT('SE.01.01.18'!$D$47,8)&lt;&gt;"Reported",'SE.01.01.18'!$D$47&lt;&gt;""),Show!$B$19&amp; Show!$B$19&amp;"S.21.02.01.01 Rows{Z}@ForceFilingCode:false","")</f>
        <v/>
      </c>
    </row>
    <row r="1440" spans="1:2">
      <c r="A1440" t="str">
        <f>IF(AND(LEFT('SE.01.01.18'!$D$48,8)&lt;&gt;"Reported",'SE.01.01.18'!$D$48&lt;&gt;""),Show!$B$19 &amp; "S.21.03.01.01 Rows{Z}@ForceFilingCode:false","")</f>
        <v/>
      </c>
      <c r="B1440" t="str">
        <f>IF(AND(LEFT('SE.01.01.18'!$D$48,8)&lt;&gt;"Reported",'SE.01.01.18'!$D$48&lt;&gt;""),Show!$B$19&amp; Show!$B$19&amp;"S.21.03.01.01 Rows{Z}@ForceFilingCode:false","")</f>
        <v/>
      </c>
    </row>
    <row r="1441" spans="1:2">
      <c r="A1441" t="str">
        <f>IF(AND(LEFT('SE.01.01.18'!$D$49,8)&lt;&gt;"Reported",'SE.01.01.18'!$D$49&lt;&gt;""),Show!$B$19 &amp; "S.22.01.01.01 Rows{Z}@ForceFilingCode:false","")</f>
        <v/>
      </c>
      <c r="B1441" t="str">
        <f>IF(AND(LEFT('SE.01.01.18'!$D$49,8)&lt;&gt;"Reported",'SE.01.01.18'!$D$49&lt;&gt;""),Show!$B$19&amp; Show!$B$19&amp;"S.22.01.01.01 Rows{Z}@ForceFilingCode:false","")</f>
        <v/>
      </c>
    </row>
    <row r="1442" spans="1:2">
      <c r="A1442" t="str">
        <f>IF(AND(LEFT('SE.01.01.18'!$D$50,8)&lt;&gt;"Reported",'SE.01.01.18'!$D$50&lt;&gt;""),Show!$B$19 &amp; "S.22.04.01.01 Rows{Z}@ForceFilingCode:false","")</f>
        <v/>
      </c>
      <c r="B1442" t="str">
        <f>IF(AND(LEFT('SE.01.01.18'!$D$50,8)&lt;&gt;"Reported",'SE.01.01.18'!$D$50&lt;&gt;""),Show!$B$19&amp; Show!$B$19&amp;"S.22.04.01.01 Rows{Z}@ForceFilingCode:false","")</f>
        <v/>
      </c>
    </row>
    <row r="1443" spans="1:2">
      <c r="A1443" t="str">
        <f>IF(AND(LEFT('SE.01.01.18'!$D$50,8)&lt;&gt;"Reported",'SE.01.01.18'!$D$50&lt;&gt;""),Show!$B$19 &amp; "S.22.04.01.02 Rows{Z}@ForceFilingCode:false","")</f>
        <v/>
      </c>
      <c r="B1443" t="str">
        <f>IF(AND(LEFT('SE.01.01.18'!$D$50,8)&lt;&gt;"Reported",'SE.01.01.18'!$D$50&lt;&gt;""),Show!$B$19&amp; Show!$B$19&amp;"S.22.04.01.02 Rows{Z}@ForceFilingCode:false","")</f>
        <v/>
      </c>
    </row>
    <row r="1444" spans="1:2">
      <c r="A1444" t="str">
        <f>IF(AND(LEFT('SE.01.01.18'!$D$51,8)&lt;&gt;"Reported",'SE.01.01.18'!$D$51&lt;&gt;""),Show!$B$19 &amp; "S.22.05.01.01 Rows{Z}@ForceFilingCode:false","")</f>
        <v/>
      </c>
      <c r="B1444" t="str">
        <f>IF(AND(LEFT('SE.01.01.18'!$D$51,8)&lt;&gt;"Reported",'SE.01.01.18'!$D$51&lt;&gt;""),Show!$B$19&amp; Show!$B$19&amp;"S.22.05.01.01 Rows{Z}@ForceFilingCode:false","")</f>
        <v/>
      </c>
    </row>
    <row r="1445" spans="1:2">
      <c r="A1445" t="str">
        <f>IF(AND(LEFT('SE.01.01.18'!$D$52,8)&lt;&gt;"Reported",'SE.01.01.18'!$D$52&lt;&gt;""),Show!$B$19 &amp; "S.22.06.01.01 Rows{Z}@ForceFilingCode:false","")</f>
        <v/>
      </c>
      <c r="B1445" t="str">
        <f>IF(AND(LEFT('SE.01.01.18'!$D$52,8)&lt;&gt;"Reported",'SE.01.01.18'!$D$52&lt;&gt;""),Show!$B$19&amp; Show!$B$19&amp;"S.22.06.01.01 Rows{Z}@ForceFilingCode:false","")</f>
        <v/>
      </c>
    </row>
    <row r="1446" spans="1:2">
      <c r="A1446" t="str">
        <f>IF(AND(LEFT('SE.01.01.18'!$D$52,8)&lt;&gt;"Reported",'SE.01.01.18'!$D$52&lt;&gt;""),Show!$B$19 &amp; "S.22.06.01.02 Rows{Z}@ForceFilingCode:false","")</f>
        <v/>
      </c>
      <c r="B1446" t="str">
        <f>IF(AND(LEFT('SE.01.01.18'!$D$52,8)&lt;&gt;"Reported",'SE.01.01.18'!$D$52&lt;&gt;""),Show!$B$19&amp; Show!$B$19&amp;"S.22.06.01.02 Rows{Z}@ForceFilingCode:false","")</f>
        <v/>
      </c>
    </row>
    <row r="1447" spans="1:2">
      <c r="A1447" t="str">
        <f>IF(AND(LEFT('SE.01.01.18'!$D$52,8)&lt;&gt;"Reported",'SE.01.01.18'!$D$52&lt;&gt;""),Show!$B$19 &amp; "S.22.06.01.03 Rows{Z}@ForceFilingCode:false","")</f>
        <v/>
      </c>
      <c r="B1447" t="str">
        <f>IF(AND(LEFT('SE.01.01.18'!$D$52,8)&lt;&gt;"Reported",'SE.01.01.18'!$D$52&lt;&gt;""),Show!$B$19&amp; Show!$B$19&amp;"S.22.06.01.03 Rows{Z}@ForceFilingCode:false","")</f>
        <v/>
      </c>
    </row>
    <row r="1448" spans="1:2">
      <c r="A1448" t="str">
        <f>IF(AND(LEFT('SE.01.01.18'!$D$52,8)&lt;&gt;"Reported",'SE.01.01.18'!$D$52&lt;&gt;""),Show!$B$19 &amp; "S.22.06.01.04 Rows{Z}@ForceFilingCode:false","")</f>
        <v/>
      </c>
      <c r="B1448" t="str">
        <f>IF(AND(LEFT('SE.01.01.18'!$D$52,8)&lt;&gt;"Reported",'SE.01.01.18'!$D$52&lt;&gt;""),Show!$B$19&amp; Show!$B$19&amp;"S.22.06.01.04 Rows{Z}@ForceFilingCode:false","")</f>
        <v/>
      </c>
    </row>
    <row r="1449" spans="1:2">
      <c r="A1449" t="str">
        <f>IF(AND(LEFT('SE.01.01.18'!$D$53,8)&lt;&gt;"Reported",'SE.01.01.18'!$D$53&lt;&gt;""),Show!$B$19 &amp; "S.23.01.07.01 Rows{Z}@ForceFilingCode:false","")</f>
        <v/>
      </c>
      <c r="B1449" t="str">
        <f>IF(AND(LEFT('SE.01.01.18'!$D$53,8)&lt;&gt;"Reported",'SE.01.01.18'!$D$53&lt;&gt;""),Show!$B$19&amp; Show!$B$19&amp;"S.23.01.07.01 Rows{Z}@ForceFilingCode:false","")</f>
        <v/>
      </c>
    </row>
    <row r="1450" spans="1:2">
      <c r="A1450" t="str">
        <f>IF(AND(LEFT('SE.01.01.18'!$D$53,8)&lt;&gt;"Reported",'SE.01.01.18'!$D$53&lt;&gt;""),Show!$B$19 &amp; "S.23.01.07.02 Rows{Z}@ForceFilingCode:false","")</f>
        <v/>
      </c>
      <c r="B1450" t="str">
        <f>IF(AND(LEFT('SE.01.01.18'!$D$53,8)&lt;&gt;"Reported",'SE.01.01.18'!$D$53&lt;&gt;""),Show!$B$19&amp; Show!$B$19&amp;"S.23.01.07.02 Rows{Z}@ForceFilingCode:false","")</f>
        <v/>
      </c>
    </row>
    <row r="1451" spans="1:2">
      <c r="A1451" t="str">
        <f>IF(AND(LEFT('SE.01.01.18'!$D$54,8)&lt;&gt;"Reported",'SE.01.01.18'!$D$54&lt;&gt;""),Show!$B$19 &amp; "S.23.03.07.01 Rows{Z}@ForceFilingCode:false","")</f>
        <v/>
      </c>
      <c r="B1451" t="str">
        <f>IF(AND(LEFT('SE.01.01.18'!$D$54,8)&lt;&gt;"Reported",'SE.01.01.18'!$D$54&lt;&gt;""),Show!$B$19&amp; Show!$B$19&amp;"S.23.03.07.01 Rows{Z}@ForceFilingCode:false","")</f>
        <v/>
      </c>
    </row>
    <row r="1452" spans="1:2">
      <c r="A1452" t="str">
        <f>IF(AND(LEFT('SE.01.01.18'!$D$54,8)&lt;&gt;"Reported",'SE.01.01.18'!$D$54&lt;&gt;""),Show!$B$19 &amp; "S.23.03.07.02 Rows{Z}@ForceFilingCode:false","")</f>
        <v/>
      </c>
      <c r="B1452" t="str">
        <f>IF(AND(LEFT('SE.01.01.18'!$D$54,8)&lt;&gt;"Reported",'SE.01.01.18'!$D$54&lt;&gt;""),Show!$B$19&amp; Show!$B$19&amp;"S.23.03.07.02 Rows{Z}@ForceFilingCode:false","")</f>
        <v/>
      </c>
    </row>
    <row r="1453" spans="1:2">
      <c r="A1453" t="str">
        <f>IF(AND(LEFT('SE.01.01.18'!$D$55,8)&lt;&gt;"Reported",'SE.01.01.18'!$D$55&lt;&gt;""),Show!$B$19 &amp; "S.24.01.01.01 Rows{Z}@ForceFilingCode:false","")</f>
        <v/>
      </c>
      <c r="B1453" t="str">
        <f>IF(AND(LEFT('SE.01.01.18'!$D$55,8)&lt;&gt;"Reported",'SE.01.01.18'!$D$55&lt;&gt;""),Show!$B$19&amp; Show!$B$19&amp;"S.24.01.01.01 Rows{Z}@ForceFilingCode:false","")</f>
        <v/>
      </c>
    </row>
    <row r="1454" spans="1:2">
      <c r="A1454" t="str">
        <f>IF(AND(LEFT('SE.01.01.18'!$D$55,8)&lt;&gt;"Reported",'SE.01.01.18'!$D$55&lt;&gt;""),Show!$B$19 &amp; "S.24.01.01.02 Rows{Z}@ForceFilingCode:false","")</f>
        <v/>
      </c>
      <c r="B1454" t="str">
        <f>IF(AND(LEFT('SE.01.01.18'!$D$55,8)&lt;&gt;"Reported",'SE.01.01.18'!$D$55&lt;&gt;""),Show!$B$19&amp; Show!$B$19&amp;"S.24.01.01.02 Rows{Z}@ForceFilingCode:false","")</f>
        <v/>
      </c>
    </row>
    <row r="1455" spans="1:2">
      <c r="A1455" t="str">
        <f>IF(AND(LEFT('SE.01.01.18'!$D$55,8)&lt;&gt;"Reported",'SE.01.01.18'!$D$55&lt;&gt;""),Show!$B$19 &amp; "S.24.01.01.03 Rows{Z}@ForceFilingCode:false","")</f>
        <v/>
      </c>
      <c r="B1455" t="str">
        <f>IF(AND(LEFT('SE.01.01.18'!$D$55,8)&lt;&gt;"Reported",'SE.01.01.18'!$D$55&lt;&gt;""),Show!$B$19&amp; Show!$B$19&amp;"S.24.01.01.03 Rows{Z}@ForceFilingCode:false","")</f>
        <v/>
      </c>
    </row>
    <row r="1456" spans="1:2">
      <c r="A1456" t="str">
        <f>IF(AND(LEFT('SE.01.01.18'!$D$55,8)&lt;&gt;"Reported",'SE.01.01.18'!$D$55&lt;&gt;""),Show!$B$19 &amp; "S.24.01.01.04 Rows{Z}@ForceFilingCode:false","")</f>
        <v/>
      </c>
      <c r="B1456" t="str">
        <f>IF(AND(LEFT('SE.01.01.18'!$D$55,8)&lt;&gt;"Reported",'SE.01.01.18'!$D$55&lt;&gt;""),Show!$B$19&amp; Show!$B$19&amp;"S.24.01.01.04 Rows{Z}@ForceFilingCode:false","")</f>
        <v/>
      </c>
    </row>
    <row r="1457" spans="1:2">
      <c r="A1457" t="str">
        <f>IF(AND(LEFT('SE.01.01.18'!$D$55,8)&lt;&gt;"Reported",'SE.01.01.18'!$D$55&lt;&gt;""),Show!$B$19 &amp; "S.24.01.01.05 Rows{Z}@ForceFilingCode:false","")</f>
        <v/>
      </c>
      <c r="B1457" t="str">
        <f>IF(AND(LEFT('SE.01.01.18'!$D$55,8)&lt;&gt;"Reported",'SE.01.01.18'!$D$55&lt;&gt;""),Show!$B$19&amp; Show!$B$19&amp;"S.24.01.01.05 Rows{Z}@ForceFilingCode:false","")</f>
        <v/>
      </c>
    </row>
    <row r="1458" spans="1:2">
      <c r="A1458" t="str">
        <f>IF(AND(LEFT('SE.01.01.18'!$D$55,8)&lt;&gt;"Reported",'SE.01.01.18'!$D$55&lt;&gt;""),Show!$B$19 &amp; "S.24.01.01.06 Rows{Z}@ForceFilingCode:false","")</f>
        <v/>
      </c>
      <c r="B1458" t="str">
        <f>IF(AND(LEFT('SE.01.01.18'!$D$55,8)&lt;&gt;"Reported",'SE.01.01.18'!$D$55&lt;&gt;""),Show!$B$19&amp; Show!$B$19&amp;"S.24.01.01.06 Rows{Z}@ForceFilingCode:false","")</f>
        <v/>
      </c>
    </row>
    <row r="1459" spans="1:2">
      <c r="A1459" t="str">
        <f>IF(AND(LEFT('SE.01.01.18'!$D$55,8)&lt;&gt;"Reported",'SE.01.01.18'!$D$55&lt;&gt;""),Show!$B$19 &amp; "S.24.01.01.07 Rows{Z}@ForceFilingCode:false","")</f>
        <v/>
      </c>
      <c r="B1459" t="str">
        <f>IF(AND(LEFT('SE.01.01.18'!$D$55,8)&lt;&gt;"Reported",'SE.01.01.18'!$D$55&lt;&gt;""),Show!$B$19&amp; Show!$B$19&amp;"S.24.01.01.07 Rows{Z}@ForceFilingCode:false","")</f>
        <v/>
      </c>
    </row>
    <row r="1460" spans="1:2">
      <c r="A1460" t="str">
        <f>IF(AND(LEFT('SE.01.01.18'!$D$55,8)&lt;&gt;"Reported",'SE.01.01.18'!$D$55&lt;&gt;""),Show!$B$19 &amp; "S.24.01.01.08 Rows{Z}@ForceFilingCode:false","")</f>
        <v/>
      </c>
      <c r="B1460" t="str">
        <f>IF(AND(LEFT('SE.01.01.18'!$D$55,8)&lt;&gt;"Reported",'SE.01.01.18'!$D$55&lt;&gt;""),Show!$B$19&amp; Show!$B$19&amp;"S.24.01.01.08 Rows{Z}@ForceFilingCode:false","")</f>
        <v/>
      </c>
    </row>
    <row r="1461" spans="1:2">
      <c r="A1461" t="str">
        <f>IF(AND(LEFT('SE.01.01.18'!$D$55,8)&lt;&gt;"Reported",'SE.01.01.18'!$D$55&lt;&gt;""),Show!$B$19 &amp; "S.24.01.01.09 Rows{Z}@ForceFilingCode:false","")</f>
        <v/>
      </c>
      <c r="B1461" t="str">
        <f>IF(AND(LEFT('SE.01.01.18'!$D$55,8)&lt;&gt;"Reported",'SE.01.01.18'!$D$55&lt;&gt;""),Show!$B$19&amp; Show!$B$19&amp;"S.24.01.01.09 Rows{Z}@ForceFilingCode:false","")</f>
        <v/>
      </c>
    </row>
    <row r="1462" spans="1:2">
      <c r="A1462" t="str">
        <f>IF(AND(LEFT('SE.01.01.18'!$D$55,8)&lt;&gt;"Reported",'SE.01.01.18'!$D$55&lt;&gt;""),Show!$B$19 &amp; "S.24.01.01.10 Rows{Z}@ForceFilingCode:false","")</f>
        <v/>
      </c>
      <c r="B1462" t="str">
        <f>IF(AND(LEFT('SE.01.01.18'!$D$55,8)&lt;&gt;"Reported",'SE.01.01.18'!$D$55&lt;&gt;""),Show!$B$19&amp; Show!$B$19&amp;"S.24.01.01.10 Rows{Z}@ForceFilingCode:false","")</f>
        <v/>
      </c>
    </row>
    <row r="1463" spans="1:2">
      <c r="A1463" t="str">
        <f>IF(AND(LEFT('SE.01.01.18'!$D$55,8)&lt;&gt;"Reported",'SE.01.01.18'!$D$55&lt;&gt;""),Show!$B$19 &amp; "S.24.01.01.11 Rows{Z}@ForceFilingCode:false","")</f>
        <v/>
      </c>
      <c r="B1463" t="str">
        <f>IF(AND(LEFT('SE.01.01.18'!$D$55,8)&lt;&gt;"Reported",'SE.01.01.18'!$D$55&lt;&gt;""),Show!$B$19&amp; Show!$B$19&amp;"S.24.01.01.11 Rows{Z}@ForceFilingCode:false","")</f>
        <v/>
      </c>
    </row>
    <row r="1464" spans="1:2">
      <c r="A1464" t="str">
        <f>IF(AND(LEFT('SE.01.01.18'!$D$56,8)&lt;&gt;"Reported",'SE.01.01.18'!$D$56&lt;&gt;""),Show!$B$19 &amp; "S.25.01.01.01 Rows{Z}@ForceFilingCode:false","")</f>
        <v/>
      </c>
      <c r="B1464" t="str">
        <f>IF(AND(LEFT('SE.01.01.18'!$D$56,8)&lt;&gt;"Reported",'SE.01.01.18'!$D$56&lt;&gt;""),Show!$B$19&amp; Show!$B$19&amp;"S.25.01.01.01 Rows{Z}@ForceFilingCode:false","")</f>
        <v/>
      </c>
    </row>
    <row r="1465" spans="1:2">
      <c r="A1465" t="str">
        <f>IF(AND(LEFT('SE.01.01.18'!$D$56,8)&lt;&gt;"Reported",'SE.01.01.18'!$D$56&lt;&gt;""),Show!$B$19 &amp; "S.25.01.01.02 Rows{Z}@ForceFilingCode:false","")</f>
        <v/>
      </c>
      <c r="B1465" t="str">
        <f>IF(AND(LEFT('SE.01.01.18'!$D$56,8)&lt;&gt;"Reported",'SE.01.01.18'!$D$56&lt;&gt;""),Show!$B$19&amp; Show!$B$19&amp;"S.25.01.01.02 Rows{Z}@ForceFilingCode:false","")</f>
        <v/>
      </c>
    </row>
    <row r="1466" spans="1:2">
      <c r="A1466" t="str">
        <f>IF(AND(LEFT('SE.01.01.18'!$D$56,8)&lt;&gt;"Reported",'SE.01.01.18'!$D$56&lt;&gt;""),Show!$B$19 &amp; "S.25.01.01.03 Rows{Z}@ForceFilingCode:false","")</f>
        <v/>
      </c>
      <c r="B1466" t="str">
        <f>IF(AND(LEFT('SE.01.01.18'!$D$56,8)&lt;&gt;"Reported",'SE.01.01.18'!$D$56&lt;&gt;""),Show!$B$19&amp; Show!$B$19&amp;"S.25.01.01.03 Rows{Z}@ForceFilingCode:false","")</f>
        <v/>
      </c>
    </row>
    <row r="1467" spans="1:2">
      <c r="A1467" t="str">
        <f>IF(AND(LEFT('SE.01.01.18'!$D$56,8)&lt;&gt;"Reported",'SE.01.01.18'!$D$56&lt;&gt;""),Show!$B$19 &amp; "S.25.01.01.04 Rows{Z}@ForceFilingCode:false","")</f>
        <v/>
      </c>
      <c r="B1467" t="str">
        <f>IF(AND(LEFT('SE.01.01.18'!$D$56,8)&lt;&gt;"Reported",'SE.01.01.18'!$D$56&lt;&gt;""),Show!$B$19&amp; Show!$B$19&amp;"S.25.01.01.04 Rows{Z}@ForceFilingCode:false","")</f>
        <v/>
      </c>
    </row>
    <row r="1468" spans="1:2">
      <c r="A1468" t="str">
        <f>IF(AND(LEFT('SE.01.01.18'!$D$56,8)&lt;&gt;"Reported",'SE.01.01.18'!$D$56&lt;&gt;""),Show!$B$19 &amp; "S.25.01.01.05 Rows{Z}@ForceFilingCode:false","")</f>
        <v/>
      </c>
      <c r="B1468" t="str">
        <f>IF(AND(LEFT('SE.01.01.18'!$D$56,8)&lt;&gt;"Reported",'SE.01.01.18'!$D$56&lt;&gt;""),Show!$B$19&amp; Show!$B$19&amp;"S.25.01.01.05 Rows{Z}@ForceFilingCode:false","")</f>
        <v/>
      </c>
    </row>
    <row r="1469" spans="1:2">
      <c r="A1469" t="str">
        <f>IF(AND(LEFT('SE.01.01.18'!$D$57,8)&lt;&gt;"Reported",'SE.01.01.18'!$D$57&lt;&gt;""),Show!$B$19 &amp; "S.25.02.01.01 Rows{Z}@ForceFilingCode:false","")</f>
        <v/>
      </c>
      <c r="B1469" t="str">
        <f>IF(AND(LEFT('SE.01.01.18'!$D$57,8)&lt;&gt;"Reported",'SE.01.01.18'!$D$57&lt;&gt;""),Show!$B$19&amp; Show!$B$19&amp;"S.25.02.01.01 Rows{Z}@ForceFilingCode:false","")</f>
        <v/>
      </c>
    </row>
    <row r="1470" spans="1:2">
      <c r="A1470" t="str">
        <f>IF(AND(LEFT('SE.01.01.18'!$D$57,8)&lt;&gt;"Reported",'SE.01.01.18'!$D$57&lt;&gt;""),Show!$B$19 &amp; "S.25.02.01.02 Rows{Z}@ForceFilingCode:false","")</f>
        <v/>
      </c>
      <c r="B1470" t="str">
        <f>IF(AND(LEFT('SE.01.01.18'!$D$57,8)&lt;&gt;"Reported",'SE.01.01.18'!$D$57&lt;&gt;""),Show!$B$19&amp; Show!$B$19&amp;"S.25.02.01.02 Rows{Z}@ForceFilingCode:false","")</f>
        <v/>
      </c>
    </row>
    <row r="1471" spans="1:2">
      <c r="A1471" t="str">
        <f>IF(AND(LEFT('SE.01.01.18'!$D$57,8)&lt;&gt;"Reported",'SE.01.01.18'!$D$57&lt;&gt;""),Show!$B$19 &amp; "S.25.02.01.03 Rows{Z}@ForceFilingCode:false","")</f>
        <v/>
      </c>
      <c r="B1471" t="str">
        <f>IF(AND(LEFT('SE.01.01.18'!$D$57,8)&lt;&gt;"Reported",'SE.01.01.18'!$D$57&lt;&gt;""),Show!$B$19&amp; Show!$B$19&amp;"S.25.02.01.03 Rows{Z}@ForceFilingCode:false","")</f>
        <v/>
      </c>
    </row>
    <row r="1472" spans="1:2">
      <c r="A1472" t="str">
        <f>IF(AND(LEFT('SE.01.01.18'!$D$57,8)&lt;&gt;"Reported",'SE.01.01.18'!$D$57&lt;&gt;""),Show!$B$19 &amp; "S.25.02.01.04 Rows{Z}@ForceFilingCode:false","")</f>
        <v/>
      </c>
      <c r="B1472" t="str">
        <f>IF(AND(LEFT('SE.01.01.18'!$D$57,8)&lt;&gt;"Reported",'SE.01.01.18'!$D$57&lt;&gt;""),Show!$B$19&amp; Show!$B$19&amp;"S.25.02.01.04 Rows{Z}@ForceFilingCode:false","")</f>
        <v/>
      </c>
    </row>
    <row r="1473" spans="1:2">
      <c r="A1473" t="str">
        <f>IF(AND(LEFT('SE.01.01.18'!$D$57,8)&lt;&gt;"Reported",'SE.01.01.18'!$D$57&lt;&gt;""),Show!$B$19 &amp; "S.25.02.01.05 Rows{Z}@ForceFilingCode:false","")</f>
        <v/>
      </c>
      <c r="B1473" t="str">
        <f>IF(AND(LEFT('SE.01.01.18'!$D$57,8)&lt;&gt;"Reported",'SE.01.01.18'!$D$57&lt;&gt;""),Show!$B$19&amp; Show!$B$19&amp;"S.25.02.01.05 Rows{Z}@ForceFilingCode:false","")</f>
        <v/>
      </c>
    </row>
    <row r="1474" spans="1:2">
      <c r="A1474" t="str">
        <f>IF(AND(LEFT('SE.01.01.18'!$D$58,8)&lt;&gt;"Reported",'SE.01.01.18'!$D$58&lt;&gt;""),Show!$B$19 &amp; "S.25.03.01.01 Rows{Z}@ForceFilingCode:false","")</f>
        <v/>
      </c>
      <c r="B1474" t="str">
        <f>IF(AND(LEFT('SE.01.01.18'!$D$58,8)&lt;&gt;"Reported",'SE.01.01.18'!$D$58&lt;&gt;""),Show!$B$19&amp; Show!$B$19&amp;"S.25.03.01.01 Rows{Z}@ForceFilingCode:false","")</f>
        <v/>
      </c>
    </row>
    <row r="1475" spans="1:2">
      <c r="A1475" t="str">
        <f>IF(AND(LEFT('SE.01.01.18'!$D$58,8)&lt;&gt;"Reported",'SE.01.01.18'!$D$58&lt;&gt;""),Show!$B$19 &amp; "S.25.03.01.02 Rows{Z}@ForceFilingCode:false","")</f>
        <v/>
      </c>
      <c r="B1475" t="str">
        <f>IF(AND(LEFT('SE.01.01.18'!$D$58,8)&lt;&gt;"Reported",'SE.01.01.18'!$D$58&lt;&gt;""),Show!$B$19&amp; Show!$B$19&amp;"S.25.03.01.02 Rows{Z}@ForceFilingCode:false","")</f>
        <v/>
      </c>
    </row>
    <row r="1476" spans="1:2">
      <c r="A1476" t="str">
        <f>IF(AND(LEFT('SE.01.01.18'!$D$58,8)&lt;&gt;"Reported",'SE.01.01.18'!$D$58&lt;&gt;""),Show!$B$19 &amp; "S.25.03.01.03 Rows{Z}@ForceFilingCode:false","")</f>
        <v/>
      </c>
      <c r="B1476" t="str">
        <f>IF(AND(LEFT('SE.01.01.18'!$D$58,8)&lt;&gt;"Reported",'SE.01.01.18'!$D$58&lt;&gt;""),Show!$B$19&amp; Show!$B$19&amp;"S.25.03.01.03 Rows{Z}@ForceFilingCode:false","")</f>
        <v/>
      </c>
    </row>
    <row r="1477" spans="1:2">
      <c r="A1477" t="str">
        <f>IF(AND(LEFT('SE.01.01.18'!$D$58,8)&lt;&gt;"Reported",'SE.01.01.18'!$D$58&lt;&gt;""),Show!$B$19 &amp; "S.25.03.01.04 Rows{Z}@ForceFilingCode:false","")</f>
        <v/>
      </c>
      <c r="B1477" t="str">
        <f>IF(AND(LEFT('SE.01.01.18'!$D$58,8)&lt;&gt;"Reported",'SE.01.01.18'!$D$58&lt;&gt;""),Show!$B$19&amp; Show!$B$19&amp;"S.25.03.01.04 Rows{Z}@ForceFilingCode:false","")</f>
        <v/>
      </c>
    </row>
    <row r="1478" spans="1:2">
      <c r="A1478" t="str">
        <f>IF(AND(LEFT('SE.01.01.18'!$D$58,8)&lt;&gt;"Reported",'SE.01.01.18'!$D$58&lt;&gt;""),Show!$B$19 &amp; "S.25.03.01.05 Rows{Z}@ForceFilingCode:false","")</f>
        <v/>
      </c>
      <c r="B1478" t="str">
        <f>IF(AND(LEFT('SE.01.01.18'!$D$58,8)&lt;&gt;"Reported",'SE.01.01.18'!$D$58&lt;&gt;""),Show!$B$19&amp; Show!$B$19&amp;"S.25.03.01.05 Rows{Z}@ForceFilingCode:false","")</f>
        <v/>
      </c>
    </row>
    <row r="1479" spans="1:2">
      <c r="A1479" t="str">
        <f>IF(AND(LEFT('SE.01.01.18'!$D$59,8)&lt;&gt;"Reported",'SE.01.01.18'!$D$59&lt;&gt;""),Show!$B$19 &amp; "S.26.01.01.01 Rows{Z}@ForceFilingCode:false","")</f>
        <v/>
      </c>
      <c r="B1479" t="str">
        <f>IF(AND(LEFT('SE.01.01.18'!$D$59,8)&lt;&gt;"Reported",'SE.01.01.18'!$D$59&lt;&gt;""),Show!$B$19&amp; Show!$B$19&amp;"S.26.01.01.01 Rows{Z}@ForceFilingCode:false","")</f>
        <v/>
      </c>
    </row>
    <row r="1480" spans="1:2">
      <c r="A1480" t="str">
        <f>IF(AND(LEFT('SE.01.01.18'!$D$59,8)&lt;&gt;"Reported",'SE.01.01.18'!$D$59&lt;&gt;""),Show!$B$19 &amp; "S.26.01.01.02 Rows{Z}@ForceFilingCode:false","")</f>
        <v/>
      </c>
      <c r="B1480" t="str">
        <f>IF(AND(LEFT('SE.01.01.18'!$D$59,8)&lt;&gt;"Reported",'SE.01.01.18'!$D$59&lt;&gt;""),Show!$B$19&amp; Show!$B$19&amp;"S.26.01.01.02 Rows{Z}@ForceFilingCode:false","")</f>
        <v/>
      </c>
    </row>
    <row r="1481" spans="1:2">
      <c r="A1481" t="str">
        <f>IF(AND(LEFT('SE.01.01.18'!$D$59,8)&lt;&gt;"Reported",'SE.01.01.18'!$D$59&lt;&gt;""),Show!$B$19 &amp; "S.26.01.01.03 Rows{Z}@ForceFilingCode:false","")</f>
        <v/>
      </c>
      <c r="B1481" t="str">
        <f>IF(AND(LEFT('SE.01.01.18'!$D$59,8)&lt;&gt;"Reported",'SE.01.01.18'!$D$59&lt;&gt;""),Show!$B$19&amp; Show!$B$19&amp;"S.26.01.01.03 Rows{Z}@ForceFilingCode:false","")</f>
        <v/>
      </c>
    </row>
    <row r="1482" spans="1:2">
      <c r="A1482" t="str">
        <f>IF(AND(LEFT('SE.01.01.18'!$D$60,8)&lt;&gt;"Reported",'SE.01.01.18'!$D$60&lt;&gt;""),Show!$B$19 &amp; "S.26.02.01.01 Rows{Z}@ForceFilingCode:false","")</f>
        <v/>
      </c>
      <c r="B1482" t="str">
        <f>IF(AND(LEFT('SE.01.01.18'!$D$60,8)&lt;&gt;"Reported",'SE.01.01.18'!$D$60&lt;&gt;""),Show!$B$19&amp; Show!$B$19&amp;"S.26.02.01.01 Rows{Z}@ForceFilingCode:false","")</f>
        <v/>
      </c>
    </row>
    <row r="1483" spans="1:2">
      <c r="A1483" t="str">
        <f>IF(AND(LEFT('SE.01.01.18'!$D$60,8)&lt;&gt;"Reported",'SE.01.01.18'!$D$60&lt;&gt;""),Show!$B$19 &amp; "S.26.02.01.02 Rows{Z}@ForceFilingCode:false","")</f>
        <v/>
      </c>
      <c r="B1483" t="str">
        <f>IF(AND(LEFT('SE.01.01.18'!$D$60,8)&lt;&gt;"Reported",'SE.01.01.18'!$D$60&lt;&gt;""),Show!$B$19&amp; Show!$B$19&amp;"S.26.02.01.02 Rows{Z}@ForceFilingCode:false","")</f>
        <v/>
      </c>
    </row>
    <row r="1484" spans="1:2">
      <c r="A1484" t="str">
        <f>IF(AND(LEFT('SE.01.01.18'!$D$60,8)&lt;&gt;"Reported",'SE.01.01.18'!$D$60&lt;&gt;""),Show!$B$19 &amp; "S.26.02.01.03 Rows{Z}@ForceFilingCode:false","")</f>
        <v/>
      </c>
      <c r="B1484" t="str">
        <f>IF(AND(LEFT('SE.01.01.18'!$D$60,8)&lt;&gt;"Reported",'SE.01.01.18'!$D$60&lt;&gt;""),Show!$B$19&amp; Show!$B$19&amp;"S.26.02.01.03 Rows{Z}@ForceFilingCode:false","")</f>
        <v/>
      </c>
    </row>
    <row r="1485" spans="1:2">
      <c r="A1485" t="str">
        <f>IF(AND(LEFT('SE.01.01.18'!$D$61,8)&lt;&gt;"Reported",'SE.01.01.18'!$D$61&lt;&gt;""),Show!$B$19 &amp; "S.26.03.01.01 Rows{Z}@ForceFilingCode:false","")</f>
        <v/>
      </c>
      <c r="B1485" t="str">
        <f>IF(AND(LEFT('SE.01.01.18'!$D$61,8)&lt;&gt;"Reported",'SE.01.01.18'!$D$61&lt;&gt;""),Show!$B$19&amp; Show!$B$19&amp;"S.26.03.01.01 Rows{Z}@ForceFilingCode:false","")</f>
        <v/>
      </c>
    </row>
    <row r="1486" spans="1:2">
      <c r="A1486" t="str">
        <f>IF(AND(LEFT('SE.01.01.18'!$D$61,8)&lt;&gt;"Reported",'SE.01.01.18'!$D$61&lt;&gt;""),Show!$B$19 &amp; "S.26.03.01.02 Rows{Z}@ForceFilingCode:false","")</f>
        <v/>
      </c>
      <c r="B1486" t="str">
        <f>IF(AND(LEFT('SE.01.01.18'!$D$61,8)&lt;&gt;"Reported",'SE.01.01.18'!$D$61&lt;&gt;""),Show!$B$19&amp; Show!$B$19&amp;"S.26.03.01.02 Rows{Z}@ForceFilingCode:false","")</f>
        <v/>
      </c>
    </row>
    <row r="1487" spans="1:2">
      <c r="A1487" t="str">
        <f>IF(AND(LEFT('SE.01.01.18'!$D$61,8)&lt;&gt;"Reported",'SE.01.01.18'!$D$61&lt;&gt;""),Show!$B$19 &amp; "S.26.03.01.03 Rows{Z}@ForceFilingCode:false","")</f>
        <v/>
      </c>
      <c r="B1487" t="str">
        <f>IF(AND(LEFT('SE.01.01.18'!$D$61,8)&lt;&gt;"Reported",'SE.01.01.18'!$D$61&lt;&gt;""),Show!$B$19&amp; Show!$B$19&amp;"S.26.03.01.03 Rows{Z}@ForceFilingCode:false","")</f>
        <v/>
      </c>
    </row>
    <row r="1488" spans="1:2">
      <c r="A1488" t="str">
        <f>IF(AND(LEFT('SE.01.01.18'!$D$61,8)&lt;&gt;"Reported",'SE.01.01.18'!$D$61&lt;&gt;""),Show!$B$19 &amp; "S.26.03.01.04 Rows{Z}@ForceFilingCode:false","")</f>
        <v/>
      </c>
      <c r="B1488" t="str">
        <f>IF(AND(LEFT('SE.01.01.18'!$D$61,8)&lt;&gt;"Reported",'SE.01.01.18'!$D$61&lt;&gt;""),Show!$B$19&amp; Show!$B$19&amp;"S.26.03.01.04 Rows{Z}@ForceFilingCode:false","")</f>
        <v/>
      </c>
    </row>
    <row r="1489" spans="1:2">
      <c r="A1489" t="str">
        <f>IF(AND(LEFT('SE.01.01.18'!$D$62,8)&lt;&gt;"Reported",'SE.01.01.18'!$D$62&lt;&gt;""),Show!$B$19 &amp; "S.26.04.01.01 Rows{Z}@ForceFilingCode:false","")</f>
        <v/>
      </c>
      <c r="B1489" t="str">
        <f>IF(AND(LEFT('SE.01.01.18'!$D$62,8)&lt;&gt;"Reported",'SE.01.01.18'!$D$62&lt;&gt;""),Show!$B$19&amp; Show!$B$19&amp;"S.26.04.01.01 Rows{Z}@ForceFilingCode:false","")</f>
        <v/>
      </c>
    </row>
    <row r="1490" spans="1:2">
      <c r="A1490" t="str">
        <f>IF(AND(LEFT('SE.01.01.18'!$D$62,8)&lt;&gt;"Reported",'SE.01.01.18'!$D$62&lt;&gt;""),Show!$B$19 &amp; "S.26.04.01.02 Rows{Z}@ForceFilingCode:false","")</f>
        <v/>
      </c>
      <c r="B1490" t="str">
        <f>IF(AND(LEFT('SE.01.01.18'!$D$62,8)&lt;&gt;"Reported",'SE.01.01.18'!$D$62&lt;&gt;""),Show!$B$19&amp; Show!$B$19&amp;"S.26.04.01.02 Rows{Z}@ForceFilingCode:false","")</f>
        <v/>
      </c>
    </row>
    <row r="1491" spans="1:2">
      <c r="A1491" t="str">
        <f>IF(AND(LEFT('SE.01.01.18'!$D$62,8)&lt;&gt;"Reported",'SE.01.01.18'!$D$62&lt;&gt;""),Show!$B$19 &amp; "S.26.04.01.03 Rows{Z}@ForceFilingCode:false","")</f>
        <v/>
      </c>
      <c r="B1491" t="str">
        <f>IF(AND(LEFT('SE.01.01.18'!$D$62,8)&lt;&gt;"Reported",'SE.01.01.18'!$D$62&lt;&gt;""),Show!$B$19&amp; Show!$B$19&amp;"S.26.04.01.03 Rows{Z}@ForceFilingCode:false","")</f>
        <v/>
      </c>
    </row>
    <row r="1492" spans="1:2">
      <c r="A1492" t="str">
        <f>IF(AND(LEFT('SE.01.01.18'!$D$62,8)&lt;&gt;"Reported",'SE.01.01.18'!$D$62&lt;&gt;""),Show!$B$19 &amp; "S.26.04.01.04 Rows{Z}@ForceFilingCode:false","")</f>
        <v/>
      </c>
      <c r="B1492" t="str">
        <f>IF(AND(LEFT('SE.01.01.18'!$D$62,8)&lt;&gt;"Reported",'SE.01.01.18'!$D$62&lt;&gt;""),Show!$B$19&amp; Show!$B$19&amp;"S.26.04.01.04 Rows{Z}@ForceFilingCode:false","")</f>
        <v/>
      </c>
    </row>
    <row r="1493" spans="1:2">
      <c r="A1493" t="str">
        <f>IF(AND(LEFT('SE.01.01.18'!$D$62,8)&lt;&gt;"Reported",'SE.01.01.18'!$D$62&lt;&gt;""),Show!$B$19 &amp; "S.26.04.01.05 Rows{Z}@ForceFilingCode:false","")</f>
        <v/>
      </c>
      <c r="B1493" t="str">
        <f>IF(AND(LEFT('SE.01.01.18'!$D$62,8)&lt;&gt;"Reported",'SE.01.01.18'!$D$62&lt;&gt;""),Show!$B$19&amp; Show!$B$19&amp;"S.26.04.01.05 Rows{Z}@ForceFilingCode:false","")</f>
        <v/>
      </c>
    </row>
    <row r="1494" spans="1:2">
      <c r="A1494" t="str">
        <f>IF(AND(LEFT('SE.01.01.18'!$D$62,8)&lt;&gt;"Reported",'SE.01.01.18'!$D$62&lt;&gt;""),Show!$B$19 &amp; "S.26.04.01.06 Rows{Z}@ForceFilingCode:false","")</f>
        <v/>
      </c>
      <c r="B1494" t="str">
        <f>IF(AND(LEFT('SE.01.01.18'!$D$62,8)&lt;&gt;"Reported",'SE.01.01.18'!$D$62&lt;&gt;""),Show!$B$19&amp; Show!$B$19&amp;"S.26.04.01.06 Rows{Z}@ForceFilingCode:false","")</f>
        <v/>
      </c>
    </row>
    <row r="1495" spans="1:2">
      <c r="A1495" t="str">
        <f>IF(AND(LEFT('SE.01.01.18'!$D$62,8)&lt;&gt;"Reported",'SE.01.01.18'!$D$62&lt;&gt;""),Show!$B$19 &amp; "S.26.04.01.07 Rows{Z}@ForceFilingCode:false","")</f>
        <v/>
      </c>
      <c r="B1495" t="str">
        <f>IF(AND(LEFT('SE.01.01.18'!$D$62,8)&lt;&gt;"Reported",'SE.01.01.18'!$D$62&lt;&gt;""),Show!$B$19&amp; Show!$B$19&amp;"S.26.04.01.07 Rows{Z}@ForceFilingCode:false","")</f>
        <v/>
      </c>
    </row>
    <row r="1496" spans="1:2">
      <c r="A1496" t="str">
        <f>IF(AND(LEFT('SE.01.01.18'!$D$62,8)&lt;&gt;"Reported",'SE.01.01.18'!$D$62&lt;&gt;""),Show!$B$19 &amp; "S.26.04.01.08 Rows{Z}@ForceFilingCode:false","")</f>
        <v/>
      </c>
      <c r="B1496" t="str">
        <f>IF(AND(LEFT('SE.01.01.18'!$D$62,8)&lt;&gt;"Reported",'SE.01.01.18'!$D$62&lt;&gt;""),Show!$B$19&amp; Show!$B$19&amp;"S.26.04.01.08 Rows{Z}@ForceFilingCode:false","")</f>
        <v/>
      </c>
    </row>
    <row r="1497" spans="1:2">
      <c r="A1497" t="str">
        <f>IF(AND(LEFT('SE.01.01.18'!$D$62,8)&lt;&gt;"Reported",'SE.01.01.18'!$D$62&lt;&gt;""),Show!$B$19 &amp; "S.26.04.01.09 Rows{Z}@ForceFilingCode:false","")</f>
        <v/>
      </c>
      <c r="B1497" t="str">
        <f>IF(AND(LEFT('SE.01.01.18'!$D$62,8)&lt;&gt;"Reported",'SE.01.01.18'!$D$62&lt;&gt;""),Show!$B$19&amp; Show!$B$19&amp;"S.26.04.01.09 Rows{Z}@ForceFilingCode:false","")</f>
        <v/>
      </c>
    </row>
    <row r="1498" spans="1:2">
      <c r="A1498" t="str">
        <f>IF(AND(LEFT('SE.01.01.18'!$D$63,8)&lt;&gt;"Reported",'SE.01.01.18'!$D$63&lt;&gt;""),Show!$B$19 &amp; "S.26.05.01.01 Rows{Z}@ForceFilingCode:false","")</f>
        <v/>
      </c>
      <c r="B1498" t="str">
        <f>IF(AND(LEFT('SE.01.01.18'!$D$63,8)&lt;&gt;"Reported",'SE.01.01.18'!$D$63&lt;&gt;""),Show!$B$19&amp; Show!$B$19&amp;"S.26.05.01.01 Rows{Z}@ForceFilingCode:false","")</f>
        <v/>
      </c>
    </row>
    <row r="1499" spans="1:2">
      <c r="A1499" t="str">
        <f>IF(AND(LEFT('SE.01.01.18'!$D$63,8)&lt;&gt;"Reported",'SE.01.01.18'!$D$63&lt;&gt;""),Show!$B$19 &amp; "S.26.05.01.02 Rows{Z}@ForceFilingCode:false","")</f>
        <v/>
      </c>
      <c r="B1499" t="str">
        <f>IF(AND(LEFT('SE.01.01.18'!$D$63,8)&lt;&gt;"Reported",'SE.01.01.18'!$D$63&lt;&gt;""),Show!$B$19&amp; Show!$B$19&amp;"S.26.05.01.02 Rows{Z}@ForceFilingCode:false","")</f>
        <v/>
      </c>
    </row>
    <row r="1500" spans="1:2">
      <c r="A1500" t="str">
        <f>IF(AND(LEFT('SE.01.01.18'!$D$63,8)&lt;&gt;"Reported",'SE.01.01.18'!$D$63&lt;&gt;""),Show!$B$19 &amp; "S.26.05.01.03 Rows{Z}@ForceFilingCode:false","")</f>
        <v/>
      </c>
      <c r="B1500" t="str">
        <f>IF(AND(LEFT('SE.01.01.18'!$D$63,8)&lt;&gt;"Reported",'SE.01.01.18'!$D$63&lt;&gt;""),Show!$B$19&amp; Show!$B$19&amp;"S.26.05.01.03 Rows{Z}@ForceFilingCode:false","")</f>
        <v/>
      </c>
    </row>
    <row r="1501" spans="1:2">
      <c r="A1501" t="str">
        <f>IF(AND(LEFT('SE.01.01.18'!$D$63,8)&lt;&gt;"Reported",'SE.01.01.18'!$D$63&lt;&gt;""),Show!$B$19 &amp; "S.26.05.01.04 Rows{Z}@ForceFilingCode:false","")</f>
        <v/>
      </c>
      <c r="B1501" t="str">
        <f>IF(AND(LEFT('SE.01.01.18'!$D$63,8)&lt;&gt;"Reported",'SE.01.01.18'!$D$63&lt;&gt;""),Show!$B$19&amp; Show!$B$19&amp;"S.26.05.01.04 Rows{Z}@ForceFilingCode:false","")</f>
        <v/>
      </c>
    </row>
    <row r="1502" spans="1:2">
      <c r="A1502" t="str">
        <f>IF(AND(LEFT('SE.01.01.18'!$D$63,8)&lt;&gt;"Reported",'SE.01.01.18'!$D$63&lt;&gt;""),Show!$B$19 &amp; "S.26.05.01.05 Rows{Z}@ForceFilingCode:false","")</f>
        <v/>
      </c>
      <c r="B1502" t="str">
        <f>IF(AND(LEFT('SE.01.01.18'!$D$63,8)&lt;&gt;"Reported",'SE.01.01.18'!$D$63&lt;&gt;""),Show!$B$19&amp; Show!$B$19&amp;"S.26.05.01.05 Rows{Z}@ForceFilingCode:false","")</f>
        <v/>
      </c>
    </row>
    <row r="1503" spans="1:2">
      <c r="A1503" t="str">
        <f>IF(AND(LEFT('SE.01.01.18'!$D$64,8)&lt;&gt;"Reported",'SE.01.01.18'!$D$64&lt;&gt;""),Show!$B$19 &amp; "S.26.06.01.01 Rows{Z}@ForceFilingCode:false","")</f>
        <v/>
      </c>
      <c r="B1503" t="str">
        <f>IF(AND(LEFT('SE.01.01.18'!$D$64,8)&lt;&gt;"Reported",'SE.01.01.18'!$D$64&lt;&gt;""),Show!$B$19&amp; Show!$B$19&amp;"S.26.06.01.01 Rows{Z}@ForceFilingCode:false","")</f>
        <v/>
      </c>
    </row>
    <row r="1504" spans="1:2">
      <c r="A1504" t="str">
        <f>IF(AND(LEFT('SE.01.01.18'!$D$65,8)&lt;&gt;"Reported",'SE.01.01.18'!$D$65&lt;&gt;""),Show!$B$19 &amp; "S.26.07.01.01 Rows{Z}@ForceFilingCode:false","")</f>
        <v/>
      </c>
      <c r="B1504" t="str">
        <f>IF(AND(LEFT('SE.01.01.18'!$D$65,8)&lt;&gt;"Reported",'SE.01.01.18'!$D$65&lt;&gt;""),Show!$B$19&amp; Show!$B$19&amp;"S.26.07.01.01 Rows{Z}@ForceFilingCode:false","")</f>
        <v/>
      </c>
    </row>
    <row r="1505" spans="1:2">
      <c r="A1505" t="str">
        <f>IF(AND(LEFT('SE.01.01.18'!$D$65,8)&lt;&gt;"Reported",'SE.01.01.18'!$D$65&lt;&gt;""),Show!$B$19 &amp; "S.26.07.01.02 Rows{Z}@ForceFilingCode:false","")</f>
        <v/>
      </c>
      <c r="B1505" t="str">
        <f>IF(AND(LEFT('SE.01.01.18'!$D$65,8)&lt;&gt;"Reported",'SE.01.01.18'!$D$65&lt;&gt;""),Show!$B$19&amp; Show!$B$19&amp;"S.26.07.01.02 Rows{Z}@ForceFilingCode:false","")</f>
        <v/>
      </c>
    </row>
    <row r="1506" spans="1:2">
      <c r="A1506" t="str">
        <f>IF(AND(LEFT('SE.01.01.18'!$D$65,8)&lt;&gt;"Reported",'SE.01.01.18'!$D$65&lt;&gt;""),Show!$B$19 &amp; "S.26.07.01.03 Rows{Z}@ForceFilingCode:false","")</f>
        <v/>
      </c>
      <c r="B1506" t="str">
        <f>IF(AND(LEFT('SE.01.01.18'!$D$65,8)&lt;&gt;"Reported",'SE.01.01.18'!$D$65&lt;&gt;""),Show!$B$19&amp; Show!$B$19&amp;"S.26.07.01.03 Rows{Z}@ForceFilingCode:false","")</f>
        <v/>
      </c>
    </row>
    <row r="1507" spans="1:2">
      <c r="A1507" t="str">
        <f>IF(AND(LEFT('SE.01.01.18'!$D$65,8)&lt;&gt;"Reported",'SE.01.01.18'!$D$65&lt;&gt;""),Show!$B$19 &amp; "S.26.07.01.04 Rows{Z}@ForceFilingCode:false","")</f>
        <v/>
      </c>
      <c r="B1507" t="str">
        <f>IF(AND(LEFT('SE.01.01.18'!$D$65,8)&lt;&gt;"Reported",'SE.01.01.18'!$D$65&lt;&gt;""),Show!$B$19&amp; Show!$B$19&amp;"S.26.07.01.04 Rows{Z}@ForceFilingCode:false","")</f>
        <v/>
      </c>
    </row>
    <row r="1508" spans="1:2">
      <c r="A1508" t="str">
        <f>IF(AND(LEFT('SE.01.01.18'!$D$65,8)&lt;&gt;"Reported",'SE.01.01.18'!$D$65&lt;&gt;""),Show!$B$19 &amp; "S.26.07.01.05 Rows{Z}@ForceFilingCode:false","")</f>
        <v/>
      </c>
      <c r="B1508" t="str">
        <f>IF(AND(LEFT('SE.01.01.18'!$D$65,8)&lt;&gt;"Reported",'SE.01.01.18'!$D$65&lt;&gt;""),Show!$B$19&amp; Show!$B$19&amp;"S.26.07.01.05 Rows{Z}@ForceFilingCode:false","")</f>
        <v/>
      </c>
    </row>
    <row r="1509" spans="1:2">
      <c r="A1509" t="str">
        <f>IF(AND(LEFT('SE.01.01.18'!$D$65,8)&lt;&gt;"Reported",'SE.01.01.18'!$D$65&lt;&gt;""),Show!$B$19 &amp; "S.26.07.01.06 Rows{Z}@ForceFilingCode:false","")</f>
        <v/>
      </c>
      <c r="B1509" t="str">
        <f>IF(AND(LEFT('SE.01.01.18'!$D$65,8)&lt;&gt;"Reported",'SE.01.01.18'!$D$65&lt;&gt;""),Show!$B$19&amp; Show!$B$19&amp;"S.26.07.01.06 Rows{Z}@ForceFilingCode:false","")</f>
        <v/>
      </c>
    </row>
    <row r="1510" spans="1:2">
      <c r="A1510" t="str">
        <f>IF(AND(LEFT('SE.01.01.18'!$D$66,8)&lt;&gt;"Reported",'SE.01.01.18'!$D$66&lt;&gt;""),Show!$B$19 &amp; "S.27.01.01.01 Rows{Z}@ForceFilingCode:false","")</f>
        <v/>
      </c>
      <c r="B1510" t="str">
        <f>IF(AND(LEFT('SE.01.01.18'!$D$66,8)&lt;&gt;"Reported",'SE.01.01.18'!$D$66&lt;&gt;""),Show!$B$19&amp; Show!$B$19&amp;"S.27.01.01.01 Rows{Z}@ForceFilingCode:false","")</f>
        <v/>
      </c>
    </row>
    <row r="1511" spans="1:2">
      <c r="A1511" t="str">
        <f>IF(AND(LEFT('SE.01.01.18'!$D$66,8)&lt;&gt;"Reported",'SE.01.01.18'!$D$66&lt;&gt;""),Show!$B$19 &amp; "S.27.01.01.02 Rows{Z}@ForceFilingCode:false","")</f>
        <v/>
      </c>
      <c r="B1511" t="str">
        <f>IF(AND(LEFT('SE.01.01.18'!$D$66,8)&lt;&gt;"Reported",'SE.01.01.18'!$D$66&lt;&gt;""),Show!$B$19&amp; Show!$B$19&amp;"S.27.01.01.02 Rows{Z}@ForceFilingCode:false","")</f>
        <v/>
      </c>
    </row>
    <row r="1512" spans="1:2">
      <c r="A1512" t="str">
        <f>IF(AND(LEFT('SE.01.01.18'!$D$66,8)&lt;&gt;"Reported",'SE.01.01.18'!$D$66&lt;&gt;""),Show!$B$19 &amp; "S.27.01.01.03 Rows{Z}@ForceFilingCode:false","")</f>
        <v/>
      </c>
      <c r="B1512" t="str">
        <f>IF(AND(LEFT('SE.01.01.18'!$D$66,8)&lt;&gt;"Reported",'SE.01.01.18'!$D$66&lt;&gt;""),Show!$B$19&amp; Show!$B$19&amp;"S.27.01.01.03 Rows{Z}@ForceFilingCode:false","")</f>
        <v/>
      </c>
    </row>
    <row r="1513" spans="1:2">
      <c r="A1513" t="str">
        <f>IF(AND(LEFT('SE.01.01.18'!$D$66,8)&lt;&gt;"Reported",'SE.01.01.18'!$D$66&lt;&gt;""),Show!$B$19 &amp; "S.27.01.01.04 Rows{Z}@ForceFilingCode:false","")</f>
        <v/>
      </c>
      <c r="B1513" t="str">
        <f>IF(AND(LEFT('SE.01.01.18'!$D$66,8)&lt;&gt;"Reported",'SE.01.01.18'!$D$66&lt;&gt;""),Show!$B$19&amp; Show!$B$19&amp;"S.27.01.01.04 Rows{Z}@ForceFilingCode:false","")</f>
        <v/>
      </c>
    </row>
    <row r="1514" spans="1:2">
      <c r="A1514" t="str">
        <f>IF(AND(LEFT('SE.01.01.18'!$D$66,8)&lt;&gt;"Reported",'SE.01.01.18'!$D$66&lt;&gt;""),Show!$B$19 &amp; "S.27.01.01.05 Rows{Z}@ForceFilingCode:false","")</f>
        <v/>
      </c>
      <c r="B1514" t="str">
        <f>IF(AND(LEFT('SE.01.01.18'!$D$66,8)&lt;&gt;"Reported",'SE.01.01.18'!$D$66&lt;&gt;""),Show!$B$19&amp; Show!$B$19&amp;"S.27.01.01.05 Rows{Z}@ForceFilingCode:false","")</f>
        <v/>
      </c>
    </row>
    <row r="1515" spans="1:2">
      <c r="A1515" t="str">
        <f>IF(AND(LEFT('SE.01.01.18'!$D$66,8)&lt;&gt;"Reported",'SE.01.01.18'!$D$66&lt;&gt;""),Show!$B$19 &amp; "S.27.01.01.06 Rows{Z}@ForceFilingCode:false","")</f>
        <v/>
      </c>
      <c r="B1515" t="str">
        <f>IF(AND(LEFT('SE.01.01.18'!$D$66,8)&lt;&gt;"Reported",'SE.01.01.18'!$D$66&lt;&gt;""),Show!$B$19&amp; Show!$B$19&amp;"S.27.01.01.06 Rows{Z}@ForceFilingCode:false","")</f>
        <v/>
      </c>
    </row>
    <row r="1516" spans="1:2">
      <c r="A1516" t="str">
        <f>IF(AND(LEFT('SE.01.01.18'!$D$66,8)&lt;&gt;"Reported",'SE.01.01.18'!$D$66&lt;&gt;""),Show!$B$19 &amp; "S.27.01.01.07 Rows{Z}@ForceFilingCode:false","")</f>
        <v/>
      </c>
      <c r="B1516" t="str">
        <f>IF(AND(LEFT('SE.01.01.18'!$D$66,8)&lt;&gt;"Reported",'SE.01.01.18'!$D$66&lt;&gt;""),Show!$B$19&amp; Show!$B$19&amp;"S.27.01.01.07 Rows{Z}@ForceFilingCode:false","")</f>
        <v/>
      </c>
    </row>
    <row r="1517" spans="1:2">
      <c r="A1517" t="str">
        <f>IF(AND(LEFT('SE.01.01.18'!$D$66,8)&lt;&gt;"Reported",'SE.01.01.18'!$D$66&lt;&gt;""),Show!$B$19 &amp; "S.27.01.01.08 Rows{Z}@ForceFilingCode:false","")</f>
        <v/>
      </c>
      <c r="B1517" t="str">
        <f>IF(AND(LEFT('SE.01.01.18'!$D$66,8)&lt;&gt;"Reported",'SE.01.01.18'!$D$66&lt;&gt;""),Show!$B$19&amp; Show!$B$19&amp;"S.27.01.01.08 Rows{Z}@ForceFilingCode:false","")</f>
        <v/>
      </c>
    </row>
    <row r="1518" spans="1:2">
      <c r="A1518" t="str">
        <f>IF(AND(LEFT('SE.01.01.18'!$D$66,8)&lt;&gt;"Reported",'SE.01.01.18'!$D$66&lt;&gt;""),Show!$B$19 &amp; "S.27.01.01.09 Rows{Z}@ForceFilingCode:false","")</f>
        <v/>
      </c>
      <c r="B1518" t="str">
        <f>IF(AND(LEFT('SE.01.01.18'!$D$66,8)&lt;&gt;"Reported",'SE.01.01.18'!$D$66&lt;&gt;""),Show!$B$19&amp; Show!$B$19&amp;"S.27.01.01.09 Rows{Z}@ForceFilingCode:false","")</f>
        <v/>
      </c>
    </row>
    <row r="1519" spans="1:2">
      <c r="A1519" t="str">
        <f>IF(AND(LEFT('SE.01.01.18'!$D$66,8)&lt;&gt;"Reported",'SE.01.01.18'!$D$66&lt;&gt;""),Show!$B$19 &amp; "S.27.01.01.10 Rows{Z}@ForceFilingCode:false","")</f>
        <v/>
      </c>
      <c r="B1519" t="str">
        <f>IF(AND(LEFT('SE.01.01.18'!$D$66,8)&lt;&gt;"Reported",'SE.01.01.18'!$D$66&lt;&gt;""),Show!$B$19&amp; Show!$B$19&amp;"S.27.01.01.10 Rows{Z}@ForceFilingCode:false","")</f>
        <v/>
      </c>
    </row>
    <row r="1520" spans="1:2">
      <c r="A1520" t="str">
        <f>IF(AND(LEFT('SE.01.01.18'!$D$66,8)&lt;&gt;"Reported",'SE.01.01.18'!$D$66&lt;&gt;""),Show!$B$19 &amp; "S.27.01.01.11 Rows{Z}@ForceFilingCode:false","")</f>
        <v/>
      </c>
      <c r="B1520" t="str">
        <f>IF(AND(LEFT('SE.01.01.18'!$D$66,8)&lt;&gt;"Reported",'SE.01.01.18'!$D$66&lt;&gt;""),Show!$B$19&amp; Show!$B$19&amp;"S.27.01.01.11 Rows{Z}@ForceFilingCode:false","")</f>
        <v/>
      </c>
    </row>
    <row r="1521" spans="1:2">
      <c r="A1521" t="str">
        <f>IF(AND(LEFT('SE.01.01.18'!$D$66,8)&lt;&gt;"Reported",'SE.01.01.18'!$D$66&lt;&gt;""),Show!$B$19 &amp; "S.27.01.01.12 Rows{Z}@ForceFilingCode:false","")</f>
        <v/>
      </c>
      <c r="B1521" t="str">
        <f>IF(AND(LEFT('SE.01.01.18'!$D$66,8)&lt;&gt;"Reported",'SE.01.01.18'!$D$66&lt;&gt;""),Show!$B$19&amp; Show!$B$19&amp;"S.27.01.01.12 Rows{Z}@ForceFilingCode:false","")</f>
        <v/>
      </c>
    </row>
    <row r="1522" spans="1:2">
      <c r="A1522" t="str">
        <f>IF(AND(LEFT('SE.01.01.18'!$D$66,8)&lt;&gt;"Reported",'SE.01.01.18'!$D$66&lt;&gt;""),Show!$B$19 &amp; "S.27.01.01.13 Rows{Z}@ForceFilingCode:false","")</f>
        <v/>
      </c>
      <c r="B1522" t="str">
        <f>IF(AND(LEFT('SE.01.01.18'!$D$66,8)&lt;&gt;"Reported",'SE.01.01.18'!$D$66&lt;&gt;""),Show!$B$19&amp; Show!$B$19&amp;"S.27.01.01.13 Rows{Z}@ForceFilingCode:false","")</f>
        <v/>
      </c>
    </row>
    <row r="1523" spans="1:2">
      <c r="A1523" t="str">
        <f>IF(AND(LEFT('SE.01.01.18'!$D$66,8)&lt;&gt;"Reported",'SE.01.01.18'!$D$66&lt;&gt;""),Show!$B$19 &amp; "S.27.01.01.14 Rows{Z}@ForceFilingCode:false","")</f>
        <v/>
      </c>
      <c r="B1523" t="str">
        <f>IF(AND(LEFT('SE.01.01.18'!$D$66,8)&lt;&gt;"Reported",'SE.01.01.18'!$D$66&lt;&gt;""),Show!$B$19&amp; Show!$B$19&amp;"S.27.01.01.14 Rows{Z}@ForceFilingCode:false","")</f>
        <v/>
      </c>
    </row>
    <row r="1524" spans="1:2">
      <c r="A1524" t="str">
        <f>IF(AND(LEFT('SE.01.01.18'!$D$66,8)&lt;&gt;"Reported",'SE.01.01.18'!$D$66&lt;&gt;""),Show!$B$19 &amp; "S.27.01.01.15 Rows{Z}@ForceFilingCode:false","")</f>
        <v/>
      </c>
      <c r="B1524" t="str">
        <f>IF(AND(LEFT('SE.01.01.18'!$D$66,8)&lt;&gt;"Reported",'SE.01.01.18'!$D$66&lt;&gt;""),Show!$B$19&amp; Show!$B$19&amp;"S.27.01.01.15 Rows{Z}@ForceFilingCode:false","")</f>
        <v/>
      </c>
    </row>
    <row r="1525" spans="1:2">
      <c r="A1525" t="str">
        <f>IF(AND(LEFT('SE.01.01.18'!$D$66,8)&lt;&gt;"Reported",'SE.01.01.18'!$D$66&lt;&gt;""),Show!$B$19 &amp; "S.27.01.01.16 Rows{Z}@ForceFilingCode:false","")</f>
        <v/>
      </c>
      <c r="B1525" t="str">
        <f>IF(AND(LEFT('SE.01.01.18'!$D$66,8)&lt;&gt;"Reported",'SE.01.01.18'!$D$66&lt;&gt;""),Show!$B$19&amp; Show!$B$19&amp;"S.27.01.01.16 Rows{Z}@ForceFilingCode:false","")</f>
        <v/>
      </c>
    </row>
    <row r="1526" spans="1:2">
      <c r="A1526" t="str">
        <f>IF(AND(LEFT('SE.01.01.18'!$D$66,8)&lt;&gt;"Reported",'SE.01.01.18'!$D$66&lt;&gt;""),Show!$B$19 &amp; "S.27.01.01.17 Rows{Z}@ForceFilingCode:false","")</f>
        <v/>
      </c>
      <c r="B1526" t="str">
        <f>IF(AND(LEFT('SE.01.01.18'!$D$66,8)&lt;&gt;"Reported",'SE.01.01.18'!$D$66&lt;&gt;""),Show!$B$19&amp; Show!$B$19&amp;"S.27.01.01.17 Rows{Z}@ForceFilingCode:false","")</f>
        <v/>
      </c>
    </row>
    <row r="1527" spans="1:2">
      <c r="A1527" t="str">
        <f>IF(AND(LEFT('SE.01.01.18'!$D$66,8)&lt;&gt;"Reported",'SE.01.01.18'!$D$66&lt;&gt;""),Show!$B$19 &amp; "S.27.01.01.18 Rows{Z}@ForceFilingCode:false","")</f>
        <v/>
      </c>
      <c r="B1527" t="str">
        <f>IF(AND(LEFT('SE.01.01.18'!$D$66,8)&lt;&gt;"Reported",'SE.01.01.18'!$D$66&lt;&gt;""),Show!$B$19&amp; Show!$B$19&amp;"S.27.01.01.18 Rows{Z}@ForceFilingCode:false","")</f>
        <v/>
      </c>
    </row>
    <row r="1528" spans="1:2">
      <c r="A1528" t="str">
        <f>IF(AND(LEFT('SE.01.01.18'!$D$66,8)&lt;&gt;"Reported",'SE.01.01.18'!$D$66&lt;&gt;""),Show!$B$19 &amp; "S.27.01.01.19 Rows{Z}@ForceFilingCode:false","")</f>
        <v/>
      </c>
      <c r="B1528" t="str">
        <f>IF(AND(LEFT('SE.01.01.18'!$D$66,8)&lt;&gt;"Reported",'SE.01.01.18'!$D$66&lt;&gt;""),Show!$B$19&amp; Show!$B$19&amp;"S.27.01.01.19 Rows{Z}@ForceFilingCode:false","")</f>
        <v/>
      </c>
    </row>
    <row r="1529" spans="1:2">
      <c r="A1529" t="str">
        <f>IF(AND(LEFT('SE.01.01.18'!$D$66,8)&lt;&gt;"Reported",'SE.01.01.18'!$D$66&lt;&gt;""),Show!$B$19 &amp; "S.27.01.01.20 Rows{Z}@ForceFilingCode:false","")</f>
        <v/>
      </c>
      <c r="B1529" t="str">
        <f>IF(AND(LEFT('SE.01.01.18'!$D$66,8)&lt;&gt;"Reported",'SE.01.01.18'!$D$66&lt;&gt;""),Show!$B$19&amp; Show!$B$19&amp;"S.27.01.01.20 Rows{Z}@ForceFilingCode:false","")</f>
        <v/>
      </c>
    </row>
    <row r="1530" spans="1:2">
      <c r="A1530" t="str">
        <f>IF(AND(LEFT('SE.01.01.18'!$D$66,8)&lt;&gt;"Reported",'SE.01.01.18'!$D$66&lt;&gt;""),Show!$B$19 &amp; "S.27.01.01.21 Rows{Z}@ForceFilingCode:false","")</f>
        <v/>
      </c>
      <c r="B1530" t="str">
        <f>IF(AND(LEFT('SE.01.01.18'!$D$66,8)&lt;&gt;"Reported",'SE.01.01.18'!$D$66&lt;&gt;""),Show!$B$19&amp; Show!$B$19&amp;"S.27.01.01.21 Rows{Z}@ForceFilingCode:false","")</f>
        <v/>
      </c>
    </row>
    <row r="1531" spans="1:2">
      <c r="A1531" t="str">
        <f>IF(AND(LEFT('SE.01.01.18'!$D$66,8)&lt;&gt;"Reported",'SE.01.01.18'!$D$66&lt;&gt;""),Show!$B$19 &amp; "S.27.01.01.22 Rows{Z}@ForceFilingCode:false","")</f>
        <v/>
      </c>
      <c r="B1531" t="str">
        <f>IF(AND(LEFT('SE.01.01.18'!$D$66,8)&lt;&gt;"Reported",'SE.01.01.18'!$D$66&lt;&gt;""),Show!$B$19&amp; Show!$B$19&amp;"S.27.01.01.22 Rows{Z}@ForceFilingCode:false","")</f>
        <v/>
      </c>
    </row>
    <row r="1532" spans="1:2">
      <c r="A1532" t="str">
        <f>IF(AND(LEFT('SE.01.01.18'!$D$66,8)&lt;&gt;"Reported",'SE.01.01.18'!$D$66&lt;&gt;""),Show!$B$19 &amp; "S.27.01.01.23 Rows{Z}@ForceFilingCode:false","")</f>
        <v/>
      </c>
      <c r="B1532" t="str">
        <f>IF(AND(LEFT('SE.01.01.18'!$D$66,8)&lt;&gt;"Reported",'SE.01.01.18'!$D$66&lt;&gt;""),Show!$B$19&amp; Show!$B$19&amp;"S.27.01.01.23 Rows{Z}@ForceFilingCode:false","")</f>
        <v/>
      </c>
    </row>
    <row r="1533" spans="1:2">
      <c r="A1533" t="str">
        <f>IF(AND(LEFT('SE.01.01.18'!$D$66,8)&lt;&gt;"Reported",'SE.01.01.18'!$D$66&lt;&gt;""),Show!$B$19 &amp; "S.27.01.01.24 Rows{Z}@ForceFilingCode:false","")</f>
        <v/>
      </c>
      <c r="B1533" t="str">
        <f>IF(AND(LEFT('SE.01.01.18'!$D$66,8)&lt;&gt;"Reported",'SE.01.01.18'!$D$66&lt;&gt;""),Show!$B$19&amp; Show!$B$19&amp;"S.27.01.01.24 Rows{Z}@ForceFilingCode:false","")</f>
        <v/>
      </c>
    </row>
    <row r="1534" spans="1:2">
      <c r="A1534" t="str">
        <f>IF(AND(LEFT('SE.01.01.18'!$D$66,8)&lt;&gt;"Reported",'SE.01.01.18'!$D$66&lt;&gt;""),Show!$B$19 &amp; "S.27.01.01.25 Rows{Z}@ForceFilingCode:false","")</f>
        <v/>
      </c>
      <c r="B1534" t="str">
        <f>IF(AND(LEFT('SE.01.01.18'!$D$66,8)&lt;&gt;"Reported",'SE.01.01.18'!$D$66&lt;&gt;""),Show!$B$19&amp; Show!$B$19&amp;"S.27.01.01.25 Rows{Z}@ForceFilingCode:false","")</f>
        <v/>
      </c>
    </row>
    <row r="1535" spans="1:2">
      <c r="A1535" t="str">
        <f>IF(AND(LEFT('SE.01.01.18'!$D$66,8)&lt;&gt;"Reported",'SE.01.01.18'!$D$66&lt;&gt;""),Show!$B$19 &amp; "S.27.01.01.26 Rows{Z}@ForceFilingCode:false","")</f>
        <v/>
      </c>
      <c r="B1535" t="str">
        <f>IF(AND(LEFT('SE.01.01.18'!$D$66,8)&lt;&gt;"Reported",'SE.01.01.18'!$D$66&lt;&gt;""),Show!$B$19&amp; Show!$B$19&amp;"S.27.01.01.26 Rows{Z}@ForceFilingCode:false","")</f>
        <v/>
      </c>
    </row>
    <row r="1536" spans="1:2">
      <c r="A1536" t="str">
        <f>IF(AND(LEFT('SE.01.01.18'!$D$66,8)&lt;&gt;"Reported",'SE.01.01.18'!$D$66&lt;&gt;""),Show!$B$19 &amp; "S.27.01.01.27 Rows{Z}@ForceFilingCode:false","")</f>
        <v/>
      </c>
      <c r="B1536" t="str">
        <f>IF(AND(LEFT('SE.01.01.18'!$D$66,8)&lt;&gt;"Reported",'SE.01.01.18'!$D$66&lt;&gt;""),Show!$B$19&amp; Show!$B$19&amp;"S.27.01.01.27 Rows{Z}@ForceFilingCode:false","")</f>
        <v/>
      </c>
    </row>
    <row r="1537" spans="1:2">
      <c r="A1537" t="str">
        <f>IF(AND(LEFT('SE.01.01.18'!$D$66,8)&lt;&gt;"Reported",'SE.01.01.18'!$D$66&lt;&gt;""),Show!$B$19 &amp; "S.27.01.01.28 Rows{Z}@ForceFilingCode:false","")</f>
        <v/>
      </c>
      <c r="B1537" t="str">
        <f>IF(AND(LEFT('SE.01.01.18'!$D$66,8)&lt;&gt;"Reported",'SE.01.01.18'!$D$66&lt;&gt;""),Show!$B$19&amp; Show!$B$19&amp;"S.27.01.01.28 Rows{Z}@ForceFilingCode:false","")</f>
        <v/>
      </c>
    </row>
    <row r="1538" spans="1:2">
      <c r="A1538" t="str">
        <f>IF(AND(LEFT('SE.01.01.18'!$D$67,8)&lt;&gt;"Reported",'SE.01.01.18'!$D$67&lt;&gt;""),Show!$B$19 &amp; "S.28.01.01.01 Rows{Z}@ForceFilingCode:false","")</f>
        <v/>
      </c>
      <c r="B1538" t="str">
        <f>IF(AND(LEFT('SE.01.01.18'!$D$67,8)&lt;&gt;"Reported",'SE.01.01.18'!$D$67&lt;&gt;""),Show!$B$19&amp; Show!$B$19&amp;"S.28.01.01.01 Rows{Z}@ForceFilingCode:false","")</f>
        <v/>
      </c>
    </row>
    <row r="1539" spans="1:2">
      <c r="A1539" t="str">
        <f>IF(AND(LEFT('SE.01.01.18'!$D$67,8)&lt;&gt;"Reported",'SE.01.01.18'!$D$67&lt;&gt;""),Show!$B$19 &amp; "S.28.01.01.02 Rows{Z}@ForceFilingCode:false","")</f>
        <v/>
      </c>
      <c r="B1539" t="str">
        <f>IF(AND(LEFT('SE.01.01.18'!$D$67,8)&lt;&gt;"Reported",'SE.01.01.18'!$D$67&lt;&gt;""),Show!$B$19&amp; Show!$B$19&amp;"S.28.01.01.02 Rows{Z}@ForceFilingCode:false","")</f>
        <v/>
      </c>
    </row>
    <row r="1540" spans="1:2">
      <c r="A1540" t="str">
        <f>IF(AND(LEFT('SE.01.01.18'!$D$67,8)&lt;&gt;"Reported",'SE.01.01.18'!$D$67&lt;&gt;""),Show!$B$19 &amp; "S.28.01.01.03 Rows{Z}@ForceFilingCode:false","")</f>
        <v/>
      </c>
      <c r="B1540" t="str">
        <f>IF(AND(LEFT('SE.01.01.18'!$D$67,8)&lt;&gt;"Reported",'SE.01.01.18'!$D$67&lt;&gt;""),Show!$B$19&amp; Show!$B$19&amp;"S.28.01.01.03 Rows{Z}@ForceFilingCode:false","")</f>
        <v/>
      </c>
    </row>
    <row r="1541" spans="1:2">
      <c r="A1541" t="str">
        <f>IF(AND(LEFT('SE.01.01.18'!$D$67,8)&lt;&gt;"Reported",'SE.01.01.18'!$D$67&lt;&gt;""),Show!$B$19 &amp; "S.28.01.01.04 Rows{Z}@ForceFilingCode:false","")</f>
        <v/>
      </c>
      <c r="B1541" t="str">
        <f>IF(AND(LEFT('SE.01.01.18'!$D$67,8)&lt;&gt;"Reported",'SE.01.01.18'!$D$67&lt;&gt;""),Show!$B$19&amp; Show!$B$19&amp;"S.28.01.01.04 Rows{Z}@ForceFilingCode:false","")</f>
        <v/>
      </c>
    </row>
    <row r="1542" spans="1:2">
      <c r="A1542" t="str">
        <f>IF(AND(LEFT('SE.01.01.18'!$D$67,8)&lt;&gt;"Reported",'SE.01.01.18'!$D$67&lt;&gt;""),Show!$B$19 &amp; "S.28.01.01.05 Rows{Z}@ForceFilingCode:false","")</f>
        <v/>
      </c>
      <c r="B1542" t="str">
        <f>IF(AND(LEFT('SE.01.01.18'!$D$67,8)&lt;&gt;"Reported",'SE.01.01.18'!$D$67&lt;&gt;""),Show!$B$19&amp; Show!$B$19&amp;"S.28.01.01.05 Rows{Z}@ForceFilingCode:false","")</f>
        <v/>
      </c>
    </row>
    <row r="1543" spans="1:2">
      <c r="A1543" t="str">
        <f>IF(AND(LEFT('SE.01.01.18'!$D$68,8)&lt;&gt;"Reported",'SE.01.01.18'!$D$68&lt;&gt;""),Show!$B$19 &amp; "S.28.02.01.01 Rows{Z}@ForceFilingCode:false","")</f>
        <v/>
      </c>
      <c r="B1543" t="str">
        <f>IF(AND(LEFT('SE.01.01.18'!$D$68,8)&lt;&gt;"Reported",'SE.01.01.18'!$D$68&lt;&gt;""),Show!$B$19&amp; Show!$B$19&amp;"S.28.02.01.01 Rows{Z}@ForceFilingCode:false","")</f>
        <v/>
      </c>
    </row>
    <row r="1544" spans="1:2">
      <c r="A1544" t="str">
        <f>IF(AND(LEFT('SE.01.01.18'!$D$68,8)&lt;&gt;"Reported",'SE.01.01.18'!$D$68&lt;&gt;""),Show!$B$19 &amp; "S.28.02.01.02 Rows{Z}@ForceFilingCode:false","")</f>
        <v/>
      </c>
      <c r="B1544" t="str">
        <f>IF(AND(LEFT('SE.01.01.18'!$D$68,8)&lt;&gt;"Reported",'SE.01.01.18'!$D$68&lt;&gt;""),Show!$B$19&amp; Show!$B$19&amp;"S.28.02.01.02 Rows{Z}@ForceFilingCode:false","")</f>
        <v/>
      </c>
    </row>
    <row r="1545" spans="1:2">
      <c r="A1545" t="str">
        <f>IF(AND(LEFT('SE.01.01.18'!$D$68,8)&lt;&gt;"Reported",'SE.01.01.18'!$D$68&lt;&gt;""),Show!$B$19 &amp; "S.28.02.01.03 Rows{Z}@ForceFilingCode:false","")</f>
        <v/>
      </c>
      <c r="B1545" t="str">
        <f>IF(AND(LEFT('SE.01.01.18'!$D$68,8)&lt;&gt;"Reported",'SE.01.01.18'!$D$68&lt;&gt;""),Show!$B$19&amp; Show!$B$19&amp;"S.28.02.01.03 Rows{Z}@ForceFilingCode:false","")</f>
        <v/>
      </c>
    </row>
    <row r="1546" spans="1:2">
      <c r="A1546" t="str">
        <f>IF(AND(LEFT('SE.01.01.18'!$D$68,8)&lt;&gt;"Reported",'SE.01.01.18'!$D$68&lt;&gt;""),Show!$B$19 &amp; "S.28.02.01.04 Rows{Z}@ForceFilingCode:false","")</f>
        <v/>
      </c>
      <c r="B1546" t="str">
        <f>IF(AND(LEFT('SE.01.01.18'!$D$68,8)&lt;&gt;"Reported",'SE.01.01.18'!$D$68&lt;&gt;""),Show!$B$19&amp; Show!$B$19&amp;"S.28.02.01.04 Rows{Z}@ForceFilingCode:false","")</f>
        <v/>
      </c>
    </row>
    <row r="1547" spans="1:2">
      <c r="A1547" t="str">
        <f>IF(AND(LEFT('SE.01.01.18'!$D$68,8)&lt;&gt;"Reported",'SE.01.01.18'!$D$68&lt;&gt;""),Show!$B$19 &amp; "S.28.02.01.05 Rows{Z}@ForceFilingCode:false","")</f>
        <v/>
      </c>
      <c r="B1547" t="str">
        <f>IF(AND(LEFT('SE.01.01.18'!$D$68,8)&lt;&gt;"Reported",'SE.01.01.18'!$D$68&lt;&gt;""),Show!$B$19&amp; Show!$B$19&amp;"S.28.02.01.05 Rows{Z}@ForceFilingCode:false","")</f>
        <v/>
      </c>
    </row>
    <row r="1548" spans="1:2">
      <c r="A1548" t="str">
        <f>IF(AND(LEFT('SE.01.01.18'!$D$68,8)&lt;&gt;"Reported",'SE.01.01.18'!$D$68&lt;&gt;""),Show!$B$19 &amp; "S.28.02.01.06 Rows{Z}@ForceFilingCode:false","")</f>
        <v/>
      </c>
      <c r="B1548" t="str">
        <f>IF(AND(LEFT('SE.01.01.18'!$D$68,8)&lt;&gt;"Reported",'SE.01.01.18'!$D$68&lt;&gt;""),Show!$B$19&amp; Show!$B$19&amp;"S.28.02.01.06 Rows{Z}@ForceFilingCode:false","")</f>
        <v/>
      </c>
    </row>
    <row r="1549" spans="1:2">
      <c r="A1549" t="str">
        <f>IF(AND(LEFT('SE.01.01.18'!$D$69,8)&lt;&gt;"Reported",'SE.01.01.18'!$D$69&lt;&gt;""),Show!$B$19 &amp; "S.29.01.07.01 Rows{Z}@ForceFilingCode:false","")</f>
        <v/>
      </c>
      <c r="B1549" t="str">
        <f>IF(AND(LEFT('SE.01.01.18'!$D$69,8)&lt;&gt;"Reported",'SE.01.01.18'!$D$69&lt;&gt;""),Show!$B$19&amp; Show!$B$19&amp;"S.29.01.07.01 Rows{Z}@ForceFilingCode:false","")</f>
        <v/>
      </c>
    </row>
    <row r="1550" spans="1:2">
      <c r="A1550" t="str">
        <f>IF(AND(LEFT('SE.01.01.18'!$D$70,8)&lt;&gt;"Reported",'SE.01.01.18'!$D$70&lt;&gt;""),Show!$B$19 &amp; "S.29.02.01.01 Rows{Z}@ForceFilingCode:false","")</f>
        <v/>
      </c>
      <c r="B1550" t="str">
        <f>IF(AND(LEFT('SE.01.01.18'!$D$70,8)&lt;&gt;"Reported",'SE.01.01.18'!$D$70&lt;&gt;""),Show!$B$19&amp; Show!$B$19&amp;"S.29.02.01.01 Rows{Z}@ForceFilingCode:false","")</f>
        <v/>
      </c>
    </row>
    <row r="1551" spans="1:2">
      <c r="A1551" t="str">
        <f>IF(AND(LEFT('SE.01.01.18'!$D$71,8)&lt;&gt;"Reported",'SE.01.01.18'!$D$71&lt;&gt;""),Show!$B$19 &amp; "S.29.03.01.01 Rows{Z}@ForceFilingCode:false","")</f>
        <v/>
      </c>
      <c r="B1551" t="str">
        <f>IF(AND(LEFT('SE.01.01.18'!$D$71,8)&lt;&gt;"Reported",'SE.01.01.18'!$D$71&lt;&gt;""),Show!$B$19&amp; Show!$B$19&amp;"S.29.03.01.01 Rows{Z}@ForceFilingCode:false","")</f>
        <v/>
      </c>
    </row>
    <row r="1552" spans="1:2">
      <c r="A1552" t="str">
        <f>IF(AND(LEFT('SE.01.01.18'!$D$71,8)&lt;&gt;"Reported",'SE.01.01.18'!$D$71&lt;&gt;""),Show!$B$19 &amp; "S.29.03.01.02 Rows{Z}@ForceFilingCode:false","")</f>
        <v/>
      </c>
      <c r="B1552" t="str">
        <f>IF(AND(LEFT('SE.01.01.18'!$D$71,8)&lt;&gt;"Reported",'SE.01.01.18'!$D$71&lt;&gt;""),Show!$B$19&amp; Show!$B$19&amp;"S.29.03.01.02 Rows{Z}@ForceFilingCode:false","")</f>
        <v/>
      </c>
    </row>
    <row r="1553" spans="1:2">
      <c r="A1553" t="str">
        <f>IF(AND(LEFT('SE.01.01.18'!$D$71,8)&lt;&gt;"Reported",'SE.01.01.18'!$D$71&lt;&gt;""),Show!$B$19 &amp; "S.29.03.01.03 Rows{Z}@ForceFilingCode:false","")</f>
        <v/>
      </c>
      <c r="B1553" t="str">
        <f>IF(AND(LEFT('SE.01.01.18'!$D$71,8)&lt;&gt;"Reported",'SE.01.01.18'!$D$71&lt;&gt;""),Show!$B$19&amp; Show!$B$19&amp;"S.29.03.01.03 Rows{Z}@ForceFilingCode:false","")</f>
        <v/>
      </c>
    </row>
    <row r="1554" spans="1:2">
      <c r="A1554" t="str">
        <f>IF(AND(LEFT('SE.01.01.18'!$D$71,8)&lt;&gt;"Reported",'SE.01.01.18'!$D$71&lt;&gt;""),Show!$B$19 &amp; "S.29.03.01.04 Rows{Z}@ForceFilingCode:false","")</f>
        <v/>
      </c>
      <c r="B1554" t="str">
        <f>IF(AND(LEFT('SE.01.01.18'!$D$71,8)&lt;&gt;"Reported",'SE.01.01.18'!$D$71&lt;&gt;""),Show!$B$19&amp; Show!$B$19&amp;"S.29.03.01.04 Rows{Z}@ForceFilingCode:false","")</f>
        <v/>
      </c>
    </row>
    <row r="1555" spans="1:2">
      <c r="A1555" t="str">
        <f>IF(AND(LEFT('SE.01.01.18'!$D$71,8)&lt;&gt;"Reported",'SE.01.01.18'!$D$71&lt;&gt;""),Show!$B$19 &amp; "S.29.03.01.05 Rows{Z}@ForceFilingCode:false","")</f>
        <v/>
      </c>
      <c r="B1555" t="str">
        <f>IF(AND(LEFT('SE.01.01.18'!$D$71,8)&lt;&gt;"Reported",'SE.01.01.18'!$D$71&lt;&gt;""),Show!$B$19&amp; Show!$B$19&amp;"S.29.03.01.05 Rows{Z}@ForceFilingCode:false","")</f>
        <v/>
      </c>
    </row>
    <row r="1556" spans="1:2">
      <c r="A1556" t="str">
        <f>IF(AND(LEFT('SE.01.01.18'!$D$71,8)&lt;&gt;"Reported",'SE.01.01.18'!$D$71&lt;&gt;""),Show!$B$19 &amp; "S.29.03.01.06 Rows{Z}@ForceFilingCode:false","")</f>
        <v/>
      </c>
      <c r="B1556" t="str">
        <f>IF(AND(LEFT('SE.01.01.18'!$D$71,8)&lt;&gt;"Reported",'SE.01.01.18'!$D$71&lt;&gt;""),Show!$B$19&amp; Show!$B$19&amp;"S.29.03.01.06 Rows{Z}@ForceFilingCode:false","")</f>
        <v/>
      </c>
    </row>
    <row r="1557" spans="1:2">
      <c r="A1557" t="str">
        <f>IF(AND(LEFT('SE.01.01.18'!$D$71,8)&lt;&gt;"Reported",'SE.01.01.18'!$D$71&lt;&gt;""),Show!$B$19 &amp; "S.29.03.01.07 Rows{Z}@ForceFilingCode:false","")</f>
        <v/>
      </c>
      <c r="B1557" t="str">
        <f>IF(AND(LEFT('SE.01.01.18'!$D$71,8)&lt;&gt;"Reported",'SE.01.01.18'!$D$71&lt;&gt;""),Show!$B$19&amp; Show!$B$19&amp;"S.29.03.01.07 Rows{Z}@ForceFilingCode:false","")</f>
        <v/>
      </c>
    </row>
    <row r="1558" spans="1:2">
      <c r="A1558" t="str">
        <f>IF(AND(LEFT('SE.01.01.18'!$D$72,8)&lt;&gt;"Reported",'SE.01.01.18'!$D$72&lt;&gt;""),Show!$B$19 &amp; "S.29.04.01.01 Rows{Z}@ForceFilingCode:false","")</f>
        <v/>
      </c>
      <c r="B1558" t="str">
        <f>IF(AND(LEFT('SE.01.01.18'!$D$72,8)&lt;&gt;"Reported",'SE.01.01.18'!$D$72&lt;&gt;""),Show!$B$19&amp; Show!$B$19&amp;"S.29.04.01.01 Rows{Z}@ForceFilingCode:false","")</f>
        <v/>
      </c>
    </row>
    <row r="1559" spans="1:2">
      <c r="A1559" t="str">
        <f>IF(AND(LEFT('SE.01.01.18'!$D$72,8)&lt;&gt;"Reported",'SE.01.01.18'!$D$72&lt;&gt;""),Show!$B$19 &amp; "S.29.04.01.02 Rows{Z}@ForceFilingCode:false","")</f>
        <v/>
      </c>
      <c r="B1559" t="str">
        <f>IF(AND(LEFT('SE.01.01.18'!$D$72,8)&lt;&gt;"Reported",'SE.01.01.18'!$D$72&lt;&gt;""),Show!$B$19&amp; Show!$B$19&amp;"S.29.04.01.02 Rows{Z}@ForceFilingCode:false","")</f>
        <v/>
      </c>
    </row>
    <row r="1560" spans="1:2">
      <c r="A1560" t="str">
        <f>IF(AND(LEFT('SE.01.01.18'!$D$73,8)&lt;&gt;"Reported",'SE.01.01.18'!$D$73&lt;&gt;""),Show!$B$19 &amp; "S.30.01.01.01 Rows{Z}@ForceFilingCode:false","")</f>
        <v/>
      </c>
      <c r="B1560" t="str">
        <f>IF(AND(LEFT('SE.01.01.18'!$D$73,8)&lt;&gt;"Reported",'SE.01.01.18'!$D$73&lt;&gt;""),Show!$B$19&amp; Show!$B$19&amp;"S.30.01.01.01 Rows{Z}@ForceFilingCode:false","")</f>
        <v/>
      </c>
    </row>
    <row r="1561" spans="1:2">
      <c r="A1561" t="str">
        <f>IF(AND(LEFT('SE.01.01.18'!$D$73,8)&lt;&gt;"Reported",'SE.01.01.18'!$D$73&lt;&gt;""),Show!$B$19 &amp; "S.30.01.01.02 Rows{Z}@ForceFilingCode:false","")</f>
        <v/>
      </c>
      <c r="B1561" t="str">
        <f>IF(AND(LEFT('SE.01.01.18'!$D$73,8)&lt;&gt;"Reported",'SE.01.01.18'!$D$73&lt;&gt;""),Show!$B$19&amp; Show!$B$19&amp;"S.30.01.01.02 Rows{Z}@ForceFilingCode:false","")</f>
        <v/>
      </c>
    </row>
    <row r="1562" spans="1:2">
      <c r="A1562" t="str">
        <f>IF(AND(LEFT('SE.01.01.18'!$D$74,8)&lt;&gt;"Reported",'SE.01.01.18'!$D$74&lt;&gt;""),Show!$B$19 &amp; "S.30.02.01.01 Rows{Z}@ForceFilingCode:false","")</f>
        <v/>
      </c>
      <c r="B1562" t="str">
        <f>IF(AND(LEFT('SE.01.01.18'!$D$74,8)&lt;&gt;"Reported",'SE.01.01.18'!$D$74&lt;&gt;""),Show!$B$19&amp; Show!$B$19&amp;"S.30.02.01.01 Rows{Z}@ForceFilingCode:false","")</f>
        <v/>
      </c>
    </row>
    <row r="1563" spans="1:2">
      <c r="A1563" t="str">
        <f>IF(AND(LEFT('SE.01.01.18'!$D$74,8)&lt;&gt;"Reported",'SE.01.01.18'!$D$74&lt;&gt;""),Show!$B$19 &amp; "S.30.02.01.02 Rows{Z}@ForceFilingCode:false","")</f>
        <v/>
      </c>
      <c r="B1563" t="str">
        <f>IF(AND(LEFT('SE.01.01.18'!$D$74,8)&lt;&gt;"Reported",'SE.01.01.18'!$D$74&lt;&gt;""),Show!$B$19&amp; Show!$B$19&amp;"S.30.02.01.02 Rows{Z}@ForceFilingCode:false","")</f>
        <v/>
      </c>
    </row>
    <row r="1564" spans="1:2">
      <c r="A1564" t="str">
        <f>IF(AND(LEFT('SE.01.01.18'!$D$74,8)&lt;&gt;"Reported",'SE.01.01.18'!$D$74&lt;&gt;""),Show!$B$19 &amp; "S.30.02.01.03 Rows{Z}@ForceFilingCode:false","")</f>
        <v/>
      </c>
      <c r="B1564" t="str">
        <f>IF(AND(LEFT('SE.01.01.18'!$D$74,8)&lt;&gt;"Reported",'SE.01.01.18'!$D$74&lt;&gt;""),Show!$B$19&amp; Show!$B$19&amp;"S.30.02.01.03 Rows{Z}@ForceFilingCode:false","")</f>
        <v/>
      </c>
    </row>
    <row r="1565" spans="1:2">
      <c r="A1565" t="str">
        <f>IF(AND(LEFT('SE.01.01.18'!$D$74,8)&lt;&gt;"Reported",'SE.01.01.18'!$D$74&lt;&gt;""),Show!$B$19 &amp; "S.30.02.01.04 Rows{Z}@ForceFilingCode:false","")</f>
        <v/>
      </c>
      <c r="B1565" t="str">
        <f>IF(AND(LEFT('SE.01.01.18'!$D$74,8)&lt;&gt;"Reported",'SE.01.01.18'!$D$74&lt;&gt;""),Show!$B$19&amp; Show!$B$19&amp;"S.30.02.01.04 Rows{Z}@ForceFilingCode:false","")</f>
        <v/>
      </c>
    </row>
    <row r="1566" spans="1:2">
      <c r="A1566" t="str">
        <f>IF(AND(LEFT('SE.01.01.18'!$D$75,8)&lt;&gt;"Reported",'SE.01.01.18'!$D$75&lt;&gt;""),Show!$B$19 &amp; "S.30.03.01.01 Rows{Z}@ForceFilingCode:false","")</f>
        <v/>
      </c>
      <c r="B1566" t="str">
        <f>IF(AND(LEFT('SE.01.01.18'!$D$75,8)&lt;&gt;"Reported",'SE.01.01.18'!$D$75&lt;&gt;""),Show!$B$19&amp; Show!$B$19&amp;"S.30.03.01.01 Rows{Z}@ForceFilingCode:false","")</f>
        <v/>
      </c>
    </row>
    <row r="1567" spans="1:2">
      <c r="A1567" t="str">
        <f>IF(AND(LEFT('SE.01.01.18'!$D$76,8)&lt;&gt;"Reported",'SE.01.01.18'!$D$76&lt;&gt;""),Show!$B$19 &amp; "S.30.04.01.01 Rows{Z}@ForceFilingCode:false","")</f>
        <v/>
      </c>
      <c r="B1567" t="str">
        <f>IF(AND(LEFT('SE.01.01.18'!$D$76,8)&lt;&gt;"Reported",'SE.01.01.18'!$D$76&lt;&gt;""),Show!$B$19&amp; Show!$B$19&amp;"S.30.04.01.01 Rows{Z}@ForceFilingCode:false","")</f>
        <v/>
      </c>
    </row>
    <row r="1568" spans="1:2">
      <c r="A1568" t="str">
        <f>IF(AND(LEFT('SE.01.01.18'!$D$76,8)&lt;&gt;"Reported",'SE.01.01.18'!$D$76&lt;&gt;""),Show!$B$19 &amp; "S.30.04.01.02 Rows{Z}@ForceFilingCode:false","")</f>
        <v/>
      </c>
      <c r="B1568" t="str">
        <f>IF(AND(LEFT('SE.01.01.18'!$D$76,8)&lt;&gt;"Reported",'SE.01.01.18'!$D$76&lt;&gt;""),Show!$B$19&amp; Show!$B$19&amp;"S.30.04.01.02 Rows{Z}@ForceFilingCode:false","")</f>
        <v/>
      </c>
    </row>
    <row r="1569" spans="1:2">
      <c r="A1569" t="str">
        <f>IF(AND(LEFT('SE.01.01.18'!$D$76,8)&lt;&gt;"Reported",'SE.01.01.18'!$D$76&lt;&gt;""),Show!$B$19 &amp; "S.30.04.01.03 Rows{Z}@ForceFilingCode:false","")</f>
        <v/>
      </c>
      <c r="B1569" t="str">
        <f>IF(AND(LEFT('SE.01.01.18'!$D$76,8)&lt;&gt;"Reported",'SE.01.01.18'!$D$76&lt;&gt;""),Show!$B$19&amp; Show!$B$19&amp;"S.30.04.01.03 Rows{Z}@ForceFilingCode:false","")</f>
        <v/>
      </c>
    </row>
    <row r="1570" spans="1:2">
      <c r="A1570" t="str">
        <f>IF(AND(LEFT('SE.01.01.18'!$D$77,8)&lt;&gt;"Reported",'SE.01.01.18'!$D$77&lt;&gt;""),Show!$B$19 &amp; "S.31.01.01.01 Rows{Z}@ForceFilingCode:false","")</f>
        <v/>
      </c>
      <c r="B1570" t="str">
        <f>IF(AND(LEFT('SE.01.01.18'!$D$77,8)&lt;&gt;"Reported",'SE.01.01.18'!$D$77&lt;&gt;""),Show!$B$19&amp; Show!$B$19&amp;"S.31.01.01.01 Rows{Z}@ForceFilingCode:false","")</f>
        <v/>
      </c>
    </row>
    <row r="1571" spans="1:2">
      <c r="A1571" t="str">
        <f>IF(AND(LEFT('SE.01.01.18'!$D$77,8)&lt;&gt;"Reported",'SE.01.01.18'!$D$77&lt;&gt;""),Show!$B$19 &amp; "S.31.01.01.02 Rows{Z}@ForceFilingCode:false","")</f>
        <v/>
      </c>
      <c r="B1571" t="str">
        <f>IF(AND(LEFT('SE.01.01.18'!$D$77,8)&lt;&gt;"Reported",'SE.01.01.18'!$D$77&lt;&gt;""),Show!$B$19&amp; Show!$B$19&amp;"S.31.01.01.02 Rows{Z}@ForceFilingCode:false","")</f>
        <v/>
      </c>
    </row>
    <row r="1572" spans="1:2">
      <c r="A1572" t="str">
        <f>IF(AND(LEFT('SE.01.01.18'!$D$78,8)&lt;&gt;"Reported",'SE.01.01.18'!$D$78&lt;&gt;""),Show!$B$19 &amp; "S.31.02.01.01 Rows{Z}@ForceFilingCode:false","")</f>
        <v/>
      </c>
      <c r="B1572" t="str">
        <f>IF(AND(LEFT('SE.01.01.18'!$D$78,8)&lt;&gt;"Reported",'SE.01.01.18'!$D$78&lt;&gt;""),Show!$B$19&amp; Show!$B$19&amp;"S.31.02.01.01 Rows{Z}@ForceFilingCode:false","")</f>
        <v/>
      </c>
    </row>
    <row r="1573" spans="1:2">
      <c r="A1573" t="str">
        <f>IF(AND(LEFT('SE.01.01.18'!$D$78,8)&lt;&gt;"Reported",'SE.01.01.18'!$D$78&lt;&gt;""),Show!$B$19 &amp; "S.31.02.01.02 Rows{Z}@ForceFilingCode:false","")</f>
        <v/>
      </c>
      <c r="B1573" t="str">
        <f>IF(AND(LEFT('SE.01.01.18'!$D$78,8)&lt;&gt;"Reported",'SE.01.01.18'!$D$78&lt;&gt;""),Show!$B$19&amp; Show!$B$19&amp;"S.31.02.01.02 Rows{Z}@ForceFilingCode:false","")</f>
        <v/>
      </c>
    </row>
    <row r="1574" spans="1:2">
      <c r="A1574" t="str">
        <f>IF(AND(LEFT('SE.01.01.18'!$D$79,8)&lt;&gt;"Reported",'SE.01.01.18'!$D$79&lt;&gt;""),Show!$B$19 &amp; "E.01.01.16.01 Rows{Z}@ForceFilingCode:false","")</f>
        <v/>
      </c>
      <c r="B1574" t="str">
        <f>IF(AND(LEFT('SE.01.01.18'!$D$79,8)&lt;&gt;"Reported",'SE.01.01.18'!$D$79&lt;&gt;""),Show!$B$19&amp; Show!$B$19&amp;"E.01.01.16.01 Rows{Z}@ForceFilingCode:false","")</f>
        <v/>
      </c>
    </row>
    <row r="1575" spans="1:2">
      <c r="A1575" t="str">
        <f>IF(AND(LEFT('SE.01.01.18'!$D$80,8)&lt;&gt;"Reported",'SE.01.01.18'!$D$80&lt;&gt;""),Show!$B$19 &amp; "E.02.01.16.01 Rows{Z}@ForceFilingCode:false","")</f>
        <v/>
      </c>
      <c r="B1575" t="str">
        <f>IF(AND(LEFT('SE.01.01.18'!$D$80,8)&lt;&gt;"Reported",'SE.01.01.18'!$D$80&lt;&gt;""),Show!$B$19&amp; Show!$B$19&amp;"E.02.01.16.01 Rows{Z}@ForceFilingCode:false","")</f>
        <v/>
      </c>
    </row>
    <row r="1576" spans="1:2">
      <c r="A1576" t="str">
        <f>IF(AND(LEFT('SE.01.01.18'!$D$81,8)&lt;&gt;"Reported",'SE.01.01.18'!$D$81&lt;&gt;""),Show!$B$19 &amp; "E.03.01.16.01 Rows{Z}@ForceFilingCode:false","")</f>
        <v/>
      </c>
      <c r="B1576" t="str">
        <f>IF(AND(LEFT('SE.01.01.18'!$D$81,8)&lt;&gt;"Reported",'SE.01.01.18'!$D$81&lt;&gt;""),Show!$B$19&amp; Show!$B$19&amp;"E.03.01.16.01 Rows{Z}@ForceFilingCode:false","")</f>
        <v/>
      </c>
    </row>
    <row r="1577" spans="1:2">
      <c r="A1577" t="str">
        <f>IF(AND(LEFT('SE.01.01.18'!$D$81,8)&lt;&gt;"Reported",'SE.01.01.18'!$D$81&lt;&gt;""),Show!$B$19 &amp; "E.03.01.16.02 Rows{Z}@ForceFilingCode:false","")</f>
        <v/>
      </c>
      <c r="B1577" t="str">
        <f>IF(AND(LEFT('SE.01.01.18'!$D$81,8)&lt;&gt;"Reported",'SE.01.01.18'!$D$81&lt;&gt;""),Show!$B$19&amp; Show!$B$19&amp;"E.03.01.16.02 Rows{Z}@ForceFilingCode:false","")</f>
        <v/>
      </c>
    </row>
    <row r="1578" spans="1:2">
      <c r="A1578" t="str">
        <f>IF(AND(LEFT('SE.01.01.19'!$D$16,8)&lt;&gt;"Reported",'SE.01.01.19'!$D$16&lt;&gt;""),Show!$B$20 &amp; "S.01.02.07.01 Rows{Z}@ForceFilingCode:false","")</f>
        <v/>
      </c>
      <c r="B1578" t="str">
        <f>IF(AND(LEFT('SE.01.01.19'!$D$16,8)&lt;&gt;"Reported",'SE.01.01.19'!$D$16&lt;&gt;""),Show!$B$20&amp; Show!$B$20&amp;"S.01.02.07.01 Rows{Z}@ForceFilingCode:false","")</f>
        <v/>
      </c>
    </row>
    <row r="1579" spans="1:2">
      <c r="A1579" t="str">
        <f>IF(AND(LEFT('SE.01.01.19'!$D$16,8)&lt;&gt;"Reported",'SE.01.01.19'!$D$16&lt;&gt;""),Show!$B$20 &amp; "S.01.02.07.02 Rows{Z}@ForceFilingCode:false","")</f>
        <v/>
      </c>
      <c r="B1579" t="str">
        <f>IF(AND(LEFT('SE.01.01.19'!$D$16,8)&lt;&gt;"Reported",'SE.01.01.19'!$D$16&lt;&gt;""),Show!$B$20&amp; Show!$B$20&amp;"S.01.02.07.02 Rows{Z}@ForceFilingCode:false","")</f>
        <v/>
      </c>
    </row>
    <row r="1580" spans="1:2">
      <c r="A1580" t="str">
        <f>IF(AND(LEFT('SE.01.01.19'!$D$16,8)&lt;&gt;"Reported",'SE.01.01.19'!$D$16&lt;&gt;""),Show!$B$20 &amp; "S.01.02.07.03 Rows{Z}@ForceFilingCode:false","")</f>
        <v/>
      </c>
      <c r="B1580" t="str">
        <f>IF(AND(LEFT('SE.01.01.19'!$D$16,8)&lt;&gt;"Reported",'SE.01.01.19'!$D$16&lt;&gt;""),Show!$B$20&amp; Show!$B$20&amp;"S.01.02.07.03 Rows{Z}@ForceFilingCode:false","")</f>
        <v/>
      </c>
    </row>
    <row r="1581" spans="1:2">
      <c r="A1581" t="str">
        <f>IF(AND(LEFT('SE.01.01.19'!$D$17,8)&lt;&gt;"Reported",'SE.01.01.19'!$D$17&lt;&gt;""),Show!$B$20 &amp; "SE.02.01.19.01 Rows{Z}@ForceFilingCode:false","")</f>
        <v/>
      </c>
      <c r="B1581" t="str">
        <f>IF(AND(LEFT('SE.01.01.19'!$D$17,8)&lt;&gt;"Reported",'SE.01.01.19'!$D$17&lt;&gt;""),Show!$B$20&amp; Show!$B$20&amp;"SE.02.01.19.01 Rows{Z}@ForceFilingCode:false","")</f>
        <v/>
      </c>
    </row>
    <row r="1582" spans="1:2">
      <c r="A1582" t="str">
        <f>IF(AND(LEFT('SE.01.01.19'!$D$18,8)&lt;&gt;"Reported",'SE.01.01.19'!$D$18&lt;&gt;""),Show!$B$20 &amp; "S.05.01.02.01 Rows{Z}@ForceFilingCode:false","")</f>
        <v/>
      </c>
      <c r="B1582" t="str">
        <f>IF(AND(LEFT('SE.01.01.19'!$D$18,8)&lt;&gt;"Reported",'SE.01.01.19'!$D$18&lt;&gt;""),Show!$B$20&amp; Show!$B$20&amp;"S.05.01.02.01 Rows{Z}@ForceFilingCode:false","")</f>
        <v/>
      </c>
    </row>
    <row r="1583" spans="1:2">
      <c r="A1583" t="str">
        <f>IF(AND(LEFT('SE.01.01.19'!$D$18,8)&lt;&gt;"Reported",'SE.01.01.19'!$D$18&lt;&gt;""),Show!$B$20 &amp; "S.05.01.02.02 Rows{Z}@ForceFilingCode:false","")</f>
        <v/>
      </c>
      <c r="B1583" t="str">
        <f>IF(AND(LEFT('SE.01.01.19'!$D$18,8)&lt;&gt;"Reported",'SE.01.01.19'!$D$18&lt;&gt;""),Show!$B$20&amp; Show!$B$20&amp;"S.05.01.02.02 Rows{Z}@ForceFilingCode:false","")</f>
        <v/>
      </c>
    </row>
    <row r="1584" spans="1:2">
      <c r="A1584" t="str">
        <f>IF(AND(LEFT('SE.01.01.19'!$D$19,8)&lt;&gt;"Reported",'SE.01.01.19'!$D$19&lt;&gt;""),Show!$B$20 &amp; "SE.06.02.18.01 Rows{Z}@ForceFilingCode:false","")</f>
        <v/>
      </c>
      <c r="B1584" t="str">
        <f>IF(AND(LEFT('SE.01.01.19'!$D$19,8)&lt;&gt;"Reported",'SE.01.01.19'!$D$19&lt;&gt;""),Show!$B$20&amp; Show!$B$20&amp;"SE.06.02.18.01 Rows{Z}@ForceFilingCode:false","")</f>
        <v/>
      </c>
    </row>
    <row r="1585" spans="1:2">
      <c r="A1585" t="str">
        <f>IF(AND(LEFT('SE.01.01.19'!$D$19,8)&lt;&gt;"Reported",'SE.01.01.19'!$D$19&lt;&gt;""),Show!$B$20 &amp; "SE.06.02.18.02 Rows{Z}@ForceFilingCode:false","")</f>
        <v/>
      </c>
      <c r="B1585" t="str">
        <f>IF(AND(LEFT('SE.01.01.19'!$D$19,8)&lt;&gt;"Reported",'SE.01.01.19'!$D$19&lt;&gt;""),Show!$B$20&amp; Show!$B$20&amp;"SE.06.02.18.02 Rows{Z}@ForceFilingCode:false","")</f>
        <v/>
      </c>
    </row>
    <row r="1586" spans="1:2">
      <c r="A1586" t="str">
        <f>IF(AND(LEFT('SE.01.01.19'!$D$20,8)&lt;&gt;"Reported",'SE.01.01.19'!$D$20&lt;&gt;""),Show!$B$20 &amp; "S.06.03.01.01 Rows{Z}@ForceFilingCode:false","")</f>
        <v/>
      </c>
      <c r="B1586" t="str">
        <f>IF(AND(LEFT('SE.01.01.19'!$D$20,8)&lt;&gt;"Reported",'SE.01.01.19'!$D$20&lt;&gt;""),Show!$B$20&amp; Show!$B$20&amp;"S.06.03.01.01 Rows{Z}@ForceFilingCode:false","")</f>
        <v/>
      </c>
    </row>
    <row r="1587" spans="1:2">
      <c r="A1587" t="str">
        <f>IF(AND(LEFT('SE.01.01.19'!$D$21,8)&lt;&gt;"Reported",'SE.01.01.19'!$D$21&lt;&gt;""),Show!$B$20 &amp; "S.08.01.01.01 Rows{Z}@ForceFilingCode:false","")</f>
        <v/>
      </c>
      <c r="B1587" t="str">
        <f>IF(AND(LEFT('SE.01.01.19'!$D$21,8)&lt;&gt;"Reported",'SE.01.01.19'!$D$21&lt;&gt;""),Show!$B$20&amp; Show!$B$20&amp;"S.08.01.01.01 Rows{Z}@ForceFilingCode:false","")</f>
        <v/>
      </c>
    </row>
    <row r="1588" spans="1:2">
      <c r="A1588" t="str">
        <f>IF(AND(LEFT('SE.01.01.19'!$D$21,8)&lt;&gt;"Reported",'SE.01.01.19'!$D$21&lt;&gt;""),Show!$B$20 &amp; "S.08.01.01.02 Rows{Z}@ForceFilingCode:false","")</f>
        <v/>
      </c>
      <c r="B1588" t="str">
        <f>IF(AND(LEFT('SE.01.01.19'!$D$21,8)&lt;&gt;"Reported",'SE.01.01.19'!$D$21&lt;&gt;""),Show!$B$20&amp; Show!$B$20&amp;"S.08.01.01.02 Rows{Z}@ForceFilingCode:false","")</f>
        <v/>
      </c>
    </row>
    <row r="1589" spans="1:2">
      <c r="A1589" t="str">
        <f>IF(AND(LEFT('SE.01.01.19'!$D$22,8)&lt;&gt;"Reported",'SE.01.01.19'!$D$22&lt;&gt;""),Show!$B$20 &amp; "S.08.02.01.01 Rows{Z}@ForceFilingCode:false","")</f>
        <v/>
      </c>
      <c r="B1589" t="str">
        <f>IF(AND(LEFT('SE.01.01.19'!$D$22,8)&lt;&gt;"Reported",'SE.01.01.19'!$D$22&lt;&gt;""),Show!$B$20&amp; Show!$B$20&amp;"S.08.02.01.01 Rows{Z}@ForceFilingCode:false","")</f>
        <v/>
      </c>
    </row>
    <row r="1590" spans="1:2">
      <c r="A1590" t="str">
        <f>IF(AND(LEFT('SE.01.01.19'!$D$22,8)&lt;&gt;"Reported",'SE.01.01.19'!$D$22&lt;&gt;""),Show!$B$20 &amp; "S.08.02.01.02 Rows{Z}@ForceFilingCode:false","")</f>
        <v/>
      </c>
      <c r="B1590" t="str">
        <f>IF(AND(LEFT('SE.01.01.19'!$D$22,8)&lt;&gt;"Reported",'SE.01.01.19'!$D$22&lt;&gt;""),Show!$B$20&amp; Show!$B$20&amp;"S.08.02.01.02 Rows{Z}@ForceFilingCode:false","")</f>
        <v/>
      </c>
    </row>
    <row r="1591" spans="1:2">
      <c r="A1591" t="str">
        <f>IF(AND(LEFT('SE.01.01.19'!$D$23,8)&lt;&gt;"Reported",'SE.01.01.19'!$D$23&lt;&gt;""),Show!$B$20 &amp; "S.12.01.02.01 Rows{Z}@ForceFilingCode:false","")</f>
        <v/>
      </c>
      <c r="B1591" t="str">
        <f>IF(AND(LEFT('SE.01.01.19'!$D$23,8)&lt;&gt;"Reported",'SE.01.01.19'!$D$23&lt;&gt;""),Show!$B$20&amp; Show!$B$20&amp;"S.12.01.02.01 Rows{Z}@ForceFilingCode:false","")</f>
        <v/>
      </c>
    </row>
    <row r="1592" spans="1:2">
      <c r="A1592" t="str">
        <f>IF(AND(LEFT('SE.01.01.19'!$D$24,8)&lt;&gt;"Reported",'SE.01.01.19'!$D$24&lt;&gt;""),Show!$B$20 &amp; "S.17.01.02.01 Rows{Z}@ForceFilingCode:false","")</f>
        <v/>
      </c>
      <c r="B1592" t="str">
        <f>IF(AND(LEFT('SE.01.01.19'!$D$24,8)&lt;&gt;"Reported",'SE.01.01.19'!$D$24&lt;&gt;""),Show!$B$20&amp; Show!$B$20&amp;"S.17.01.02.01 Rows{Z}@ForceFilingCode:false","")</f>
        <v/>
      </c>
    </row>
    <row r="1593" spans="1:2">
      <c r="A1593" t="str">
        <f>IF(AND(LEFT('SE.01.01.19'!$D$25,8)&lt;&gt;"Reported",'SE.01.01.19'!$D$25&lt;&gt;""),Show!$B$20 &amp; "S.23.01.07.01 Rows{Z}@ForceFilingCode:false","")</f>
        <v/>
      </c>
      <c r="B1593" t="str">
        <f>IF(AND(LEFT('SE.01.01.19'!$D$25,8)&lt;&gt;"Reported",'SE.01.01.19'!$D$25&lt;&gt;""),Show!$B$20&amp; Show!$B$20&amp;"S.23.01.07.01 Rows{Z}@ForceFilingCode:false","")</f>
        <v/>
      </c>
    </row>
    <row r="1594" spans="1:2">
      <c r="A1594" t="str">
        <f>IF(AND(LEFT('SE.01.01.19'!$D$25,8)&lt;&gt;"Reported",'SE.01.01.19'!$D$25&lt;&gt;""),Show!$B$20 &amp; "S.23.01.07.02 Rows{Z}@ForceFilingCode:false","")</f>
        <v/>
      </c>
      <c r="B1594" t="str">
        <f>IF(AND(LEFT('SE.01.01.19'!$D$25,8)&lt;&gt;"Reported",'SE.01.01.19'!$D$25&lt;&gt;""),Show!$B$20&amp; Show!$B$20&amp;"S.23.01.07.02 Rows{Z}@ForceFilingCode:false","")</f>
        <v/>
      </c>
    </row>
    <row r="1595" spans="1:2">
      <c r="A1595" t="str">
        <f>IF(AND(LEFT('SE.01.01.19'!$D$26,8)&lt;&gt;"Reported",'SE.01.01.19'!$D$26&lt;&gt;""),Show!$B$20 &amp; "S.28.01.01.01 Rows{Z}@ForceFilingCode:false","")</f>
        <v/>
      </c>
      <c r="B1595" t="str">
        <f>IF(AND(LEFT('SE.01.01.19'!$D$26,8)&lt;&gt;"Reported",'SE.01.01.19'!$D$26&lt;&gt;""),Show!$B$20&amp; Show!$B$20&amp;"S.28.01.01.01 Rows{Z}@ForceFilingCode:false","")</f>
        <v/>
      </c>
    </row>
    <row r="1596" spans="1:2">
      <c r="A1596" t="str">
        <f>IF(AND(LEFT('SE.01.01.19'!$D$26,8)&lt;&gt;"Reported",'SE.01.01.19'!$D$26&lt;&gt;""),Show!$B$20 &amp; "S.28.01.01.02 Rows{Z}@ForceFilingCode:false","")</f>
        <v/>
      </c>
      <c r="B1596" t="str">
        <f>IF(AND(LEFT('SE.01.01.19'!$D$26,8)&lt;&gt;"Reported",'SE.01.01.19'!$D$26&lt;&gt;""),Show!$B$20&amp; Show!$B$20&amp;"S.28.01.01.02 Rows{Z}@ForceFilingCode:false","")</f>
        <v/>
      </c>
    </row>
    <row r="1597" spans="1:2">
      <c r="A1597" t="str">
        <f>IF(AND(LEFT('SE.01.01.19'!$D$26,8)&lt;&gt;"Reported",'SE.01.01.19'!$D$26&lt;&gt;""),Show!$B$20 &amp; "S.28.01.01.03 Rows{Z}@ForceFilingCode:false","")</f>
        <v/>
      </c>
      <c r="B1597" t="str">
        <f>IF(AND(LEFT('SE.01.01.19'!$D$26,8)&lt;&gt;"Reported",'SE.01.01.19'!$D$26&lt;&gt;""),Show!$B$20&amp; Show!$B$20&amp;"S.28.01.01.03 Rows{Z}@ForceFilingCode:false","")</f>
        <v/>
      </c>
    </row>
    <row r="1598" spans="1:2">
      <c r="A1598" t="str">
        <f>IF(AND(LEFT('SE.01.01.19'!$D$26,8)&lt;&gt;"Reported",'SE.01.01.19'!$D$26&lt;&gt;""),Show!$B$20 &amp; "S.28.01.01.04 Rows{Z}@ForceFilingCode:false","")</f>
        <v/>
      </c>
      <c r="B1598" t="str">
        <f>IF(AND(LEFT('SE.01.01.19'!$D$26,8)&lt;&gt;"Reported",'SE.01.01.19'!$D$26&lt;&gt;""),Show!$B$20&amp; Show!$B$20&amp;"S.28.01.01.04 Rows{Z}@ForceFilingCode:false","")</f>
        <v/>
      </c>
    </row>
    <row r="1599" spans="1:2">
      <c r="A1599" t="str">
        <f>IF(AND(LEFT('SE.01.01.19'!$D$26,8)&lt;&gt;"Reported",'SE.01.01.19'!$D$26&lt;&gt;""),Show!$B$20 &amp; "S.28.01.01.05 Rows{Z}@ForceFilingCode:false","")</f>
        <v/>
      </c>
      <c r="B1599" t="str">
        <f>IF(AND(LEFT('SE.01.01.19'!$D$26,8)&lt;&gt;"Reported",'SE.01.01.19'!$D$26&lt;&gt;""),Show!$B$20&amp; Show!$B$20&amp;"S.28.01.01.05 Rows{Z}@ForceFilingCode:false","")</f>
        <v/>
      </c>
    </row>
    <row r="1600" spans="1:2">
      <c r="A1600" t="str">
        <f>IF(AND(LEFT('SE.01.01.19'!$D$27,8)&lt;&gt;"Reported",'SE.01.01.19'!$D$27&lt;&gt;""),Show!$B$20 &amp; "S.28.02.01.01 Rows{Z}@ForceFilingCode:false","")</f>
        <v/>
      </c>
      <c r="B1600" t="str">
        <f>IF(AND(LEFT('SE.01.01.19'!$D$27,8)&lt;&gt;"Reported",'SE.01.01.19'!$D$27&lt;&gt;""),Show!$B$20&amp; Show!$B$20&amp;"S.28.02.01.01 Rows{Z}@ForceFilingCode:false","")</f>
        <v/>
      </c>
    </row>
    <row r="1601" spans="1:2">
      <c r="A1601" t="str">
        <f>IF(AND(LEFT('SE.01.01.19'!$D$27,8)&lt;&gt;"Reported",'SE.01.01.19'!$D$27&lt;&gt;""),Show!$B$20 &amp; "S.28.02.01.02 Rows{Z}@ForceFilingCode:false","")</f>
        <v/>
      </c>
      <c r="B1601" t="str">
        <f>IF(AND(LEFT('SE.01.01.19'!$D$27,8)&lt;&gt;"Reported",'SE.01.01.19'!$D$27&lt;&gt;""),Show!$B$20&amp; Show!$B$20&amp;"S.28.02.01.02 Rows{Z}@ForceFilingCode:false","")</f>
        <v/>
      </c>
    </row>
    <row r="1602" spans="1:2">
      <c r="A1602" t="str">
        <f>IF(AND(LEFT('SE.01.01.19'!$D$27,8)&lt;&gt;"Reported",'SE.01.01.19'!$D$27&lt;&gt;""),Show!$B$20 &amp; "S.28.02.01.03 Rows{Z}@ForceFilingCode:false","")</f>
        <v/>
      </c>
      <c r="B1602" t="str">
        <f>IF(AND(LEFT('SE.01.01.19'!$D$27,8)&lt;&gt;"Reported",'SE.01.01.19'!$D$27&lt;&gt;""),Show!$B$20&amp; Show!$B$20&amp;"S.28.02.01.03 Rows{Z}@ForceFilingCode:false","")</f>
        <v/>
      </c>
    </row>
    <row r="1603" spans="1:2">
      <c r="A1603" t="str">
        <f>IF(AND(LEFT('SE.01.01.19'!$D$27,8)&lt;&gt;"Reported",'SE.01.01.19'!$D$27&lt;&gt;""),Show!$B$20 &amp; "S.28.02.01.04 Rows{Z}@ForceFilingCode:false","")</f>
        <v/>
      </c>
      <c r="B1603" t="str">
        <f>IF(AND(LEFT('SE.01.01.19'!$D$27,8)&lt;&gt;"Reported",'SE.01.01.19'!$D$27&lt;&gt;""),Show!$B$20&amp; Show!$B$20&amp;"S.28.02.01.04 Rows{Z}@ForceFilingCode:false","")</f>
        <v/>
      </c>
    </row>
    <row r="1604" spans="1:2">
      <c r="A1604" t="str">
        <f>IF(AND(LEFT('SE.01.01.19'!$D$27,8)&lt;&gt;"Reported",'SE.01.01.19'!$D$27&lt;&gt;""),Show!$B$20 &amp; "S.28.02.01.05 Rows{Z}@ForceFilingCode:false","")</f>
        <v/>
      </c>
      <c r="B1604" t="str">
        <f>IF(AND(LEFT('SE.01.01.19'!$D$27,8)&lt;&gt;"Reported",'SE.01.01.19'!$D$27&lt;&gt;""),Show!$B$20&amp; Show!$B$20&amp;"S.28.02.01.05 Rows{Z}@ForceFilingCode:false","")</f>
        <v/>
      </c>
    </row>
    <row r="1605" spans="1:2">
      <c r="A1605" t="str">
        <f>IF(AND(LEFT('SE.01.01.19'!$D$27,8)&lt;&gt;"Reported",'SE.01.01.19'!$D$27&lt;&gt;""),Show!$B$20 &amp; "S.28.02.01.06 Rows{Z}@ForceFilingCode:false","")</f>
        <v/>
      </c>
      <c r="B1605" t="str">
        <f>IF(AND(LEFT('SE.01.01.19'!$D$27,8)&lt;&gt;"Reported",'SE.01.01.19'!$D$27&lt;&gt;""),Show!$B$20&amp; Show!$B$20&amp;"S.28.02.01.06 Rows{Z}@ForceFilingCode:false","")</f>
        <v/>
      </c>
    </row>
    <row r="1606" spans="1:2">
      <c r="A1606" t="str">
        <f>IF(AND(LEFT('SE.01.01.19'!$D$28,8)&lt;&gt;"Reported",'SE.01.01.19'!$D$28&lt;&gt;""),Show!$B$20 &amp; "E.01.01.16.01 Rows{Z}@ForceFilingCode:false","")</f>
        <v/>
      </c>
      <c r="B1606" t="str">
        <f>IF(AND(LEFT('SE.01.01.19'!$D$28,8)&lt;&gt;"Reported",'SE.01.01.19'!$D$28&lt;&gt;""),Show!$B$20&amp; Show!$B$20&amp;"E.01.01.16.01 Rows{Z}@ForceFilingCode:false","")</f>
        <v/>
      </c>
    </row>
    <row r="1607" spans="1:2">
      <c r="A1607" t="str">
        <f>IF(AND(LEFT('SPV.01.01.20'!$D$16,8)&lt;&gt;"Reported",'SPV.01.01.20'!$D$16&lt;&gt;""),Show!$B$191 &amp; "SPV.01.02.20.01 Rows{Z}@ForceFilingCode:false","")</f>
        <v/>
      </c>
      <c r="B1607" t="str">
        <f>IF(AND(LEFT('SPV.01.01.20'!$D$16,8)&lt;&gt;"Reported",'SPV.01.01.20'!$D$16&lt;&gt;""),Show!$B$191&amp; Show!$B$191&amp;"SPV.01.02.20.01 Rows{Z}@ForceFilingCode:false","")</f>
        <v/>
      </c>
    </row>
    <row r="1608" spans="1:2">
      <c r="A1608" t="str">
        <f>IF(AND(LEFT('SPV.01.01.20'!$D$17,8)&lt;&gt;"Reported",'SPV.01.01.20'!$D$17&lt;&gt;""),Show!$B$191 &amp; "SPV.02.01.20.01 Rows{Z}@ForceFilingCode:false","")</f>
        <v/>
      </c>
      <c r="B1608" t="str">
        <f>IF(AND(LEFT('SPV.01.01.20'!$D$17,8)&lt;&gt;"Reported",'SPV.01.01.20'!$D$17&lt;&gt;""),Show!$B$191&amp; Show!$B$191&amp;"SPV.02.01.20.01 Rows{Z}@ForceFilingCode:false","")</f>
        <v/>
      </c>
    </row>
    <row r="1609" spans="1:2">
      <c r="A1609" t="str">
        <f>IF(AND(LEFT('SPV.01.01.20'!$D$17,8)&lt;&gt;"Reported",'SPV.01.01.20'!$D$17&lt;&gt;""),Show!$B$191 &amp; "SPV.02.01.20.02 Rows{Z}@ForceFilingCode:false","")</f>
        <v/>
      </c>
      <c r="B1609" t="str">
        <f>IF(AND(LEFT('SPV.01.01.20'!$D$17,8)&lt;&gt;"Reported",'SPV.01.01.20'!$D$17&lt;&gt;""),Show!$B$191&amp; Show!$B$191&amp;"SPV.02.01.20.02 Rows{Z}@ForceFilingCode:false","")</f>
        <v/>
      </c>
    </row>
    <row r="1610" spans="1:2">
      <c r="A1610" t="str">
        <f>IF(AND(LEFT('SPV.01.01.20'!$D$17,8)&lt;&gt;"Reported",'SPV.01.01.20'!$D$17&lt;&gt;""),Show!$B$191 &amp; "SPV.02.01.20.03 Rows{Z}@ForceFilingCode:false","")</f>
        <v/>
      </c>
      <c r="B1610" t="str">
        <f>IF(AND(LEFT('SPV.01.01.20'!$D$17,8)&lt;&gt;"Reported",'SPV.01.01.20'!$D$17&lt;&gt;""),Show!$B$191&amp; Show!$B$191&amp;"SPV.02.01.20.03 Rows{Z}@ForceFilingCode:false","")</f>
        <v/>
      </c>
    </row>
    <row r="1611" spans="1:2">
      <c r="A1611" t="str">
        <f>IF(AND(LEFT('SPV.01.01.20'!$D$17,8)&lt;&gt;"Reported",'SPV.01.01.20'!$D$17&lt;&gt;""),Show!$B$191 &amp; "SPV.02.01.20.04 Rows{Z}@ForceFilingCode:false","")</f>
        <v/>
      </c>
      <c r="B1611" t="str">
        <f>IF(AND(LEFT('SPV.01.01.20'!$D$17,8)&lt;&gt;"Reported",'SPV.01.01.20'!$D$17&lt;&gt;""),Show!$B$191&amp; Show!$B$191&amp;"SPV.02.01.20.04 Rows{Z}@ForceFilingCode:false","")</f>
        <v/>
      </c>
    </row>
    <row r="1612" spans="1:2">
      <c r="A1612" t="str">
        <f>IF(AND(LEFT('SPV.01.01.20'!$D$18,8)&lt;&gt;"Reported",'SPV.01.01.20'!$D$18&lt;&gt;""),Show!$B$191 &amp; "SPV.02.02.20.01 Rows{Z}@ForceFilingCode:false","")</f>
        <v/>
      </c>
      <c r="B1612" t="str">
        <f>IF(AND(LEFT('SPV.01.01.20'!$D$18,8)&lt;&gt;"Reported",'SPV.01.01.20'!$D$18&lt;&gt;""),Show!$B$191&amp; Show!$B$191&amp;"SPV.02.02.20.01 Rows{Z}@ForceFilingCode:false","")</f>
        <v/>
      </c>
    </row>
    <row r="1613" spans="1:2">
      <c r="A1613" t="str">
        <f>IF(AND(LEFT('SPV.01.01.20'!$D$18,8)&lt;&gt;"Reported",'SPV.01.01.20'!$D$18&lt;&gt;""),Show!$B$191 &amp; "SPV.02.02.20.02 Rows{Z}@ForceFilingCode:false","")</f>
        <v/>
      </c>
      <c r="B1613" t="str">
        <f>IF(AND(LEFT('SPV.01.01.20'!$D$18,8)&lt;&gt;"Reported",'SPV.01.01.20'!$D$18&lt;&gt;""),Show!$B$191&amp; Show!$B$191&amp;"SPV.02.02.20.02 Rows{Z}@ForceFilingCode:false","")</f>
        <v/>
      </c>
    </row>
    <row r="1614" spans="1:2">
      <c r="A1614" t="str">
        <f>IF(AND(LEFT('SPV.01.01.20'!$D$18,8)&lt;&gt;"Reported",'SPV.01.01.20'!$D$18&lt;&gt;""),Show!$B$191 &amp; "SPV.02.02.20.03 Rows{Z}@ForceFilingCode:false","")</f>
        <v/>
      </c>
      <c r="B1614" t="str">
        <f>IF(AND(LEFT('SPV.01.01.20'!$D$18,8)&lt;&gt;"Reported",'SPV.01.01.20'!$D$18&lt;&gt;""),Show!$B$191&amp; Show!$B$191&amp;"SPV.02.02.20.03 Rows{Z}@ForceFilingCode:false","")</f>
        <v/>
      </c>
    </row>
    <row r="1615" spans="1:2">
      <c r="A1615" t="str">
        <f>IF(AND(LEFT('SPV.01.01.20'!$D$19,8)&lt;&gt;"Reported",'SPV.01.01.20'!$D$19&lt;&gt;""),Show!$B$191 &amp; "SPV.03.01.20.01 Rows{Z}@ForceFilingCode:false","")</f>
        <v/>
      </c>
      <c r="B1615" t="str">
        <f>IF(AND(LEFT('SPV.01.01.20'!$D$19,8)&lt;&gt;"Reported",'SPV.01.01.20'!$D$19&lt;&gt;""),Show!$B$191&amp; Show!$B$191&amp;"SPV.03.01.20.01 Rows{Z}@ForceFilingCode:false","")</f>
        <v/>
      </c>
    </row>
    <row r="1616" spans="1:2">
      <c r="A1616" t="str">
        <f>IF(AND(LEFT('SPV.01.01.20'!$D$19,8)&lt;&gt;"Reported",'SPV.01.01.20'!$D$19&lt;&gt;""),Show!$B$191 &amp; "SPV.03.01.20.02 Rows{Z}@ForceFilingCode:false","")</f>
        <v/>
      </c>
      <c r="B1616" t="str">
        <f>IF(AND(LEFT('SPV.01.01.20'!$D$19,8)&lt;&gt;"Reported",'SPV.01.01.20'!$D$19&lt;&gt;""),Show!$B$191&amp; Show!$B$191&amp;"SPV.03.01.20.02 Rows{Z}@ForceFilingCode:false","")</f>
        <v/>
      </c>
    </row>
    <row r="1617" spans="1:2">
      <c r="A1617" t="str">
        <f>IF(AND(LEFT('SPV.01.01.20'!$D$20,8)&lt;&gt;"Reported",'SPV.01.01.20'!$D$20&lt;&gt;""),Show!$B$191 &amp; "SPV.03.02.20.01 Rows{Z}@ForceFilingCode:false","")</f>
        <v/>
      </c>
      <c r="B1617" t="str">
        <f>IF(AND(LEFT('SPV.01.01.20'!$D$20,8)&lt;&gt;"Reported",'SPV.01.01.20'!$D$20&lt;&gt;""),Show!$B$191&amp; Show!$B$191&amp;"SPV.03.02.20.01 Rows{Z}@ForceFilingCode:false","")</f>
        <v/>
      </c>
    </row>
    <row r="1618" spans="1:2">
      <c r="A1618" t="str">
        <f>IF(AND(LEFT('SPV.01.01.20'!$D$20,8)&lt;&gt;"Reported",'SPV.01.01.20'!$D$20&lt;&gt;""),Show!$B$191 &amp; "SPV.03.02.20.02 Rows{Z}@ForceFilingCode:false","")</f>
        <v/>
      </c>
      <c r="B1618" t="str">
        <f>IF(AND(LEFT('SPV.01.01.20'!$D$20,8)&lt;&gt;"Reported",'SPV.01.01.20'!$D$20&lt;&gt;""),Show!$B$191&amp; Show!$B$191&amp;"SPV.03.02.20.02 Rows{Z}@ForceFilingCode:false","")</f>
        <v/>
      </c>
    </row>
  </sheetData>
  <pageMargins left="0.7" right="0.7" top="0.75" bottom="0.75"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67DD3-3C84-4C1A-B90F-F8CC2D13B3FF}">
  <sheetPr codeName="Blad40"/>
  <dimension ref="B2:O64"/>
  <sheetViews>
    <sheetView showGridLines="0" workbookViewId="0"/>
  </sheetViews>
  <sheetFormatPr defaultRowHeight="15"/>
  <cols>
    <col min="2" max="2" width="84.7109375" bestFit="1" customWidth="1"/>
    <col min="4" max="6" width="15.7109375" customWidth="1"/>
  </cols>
  <sheetData>
    <row r="2" spans="2:15" ht="23.25">
      <c r="B2" s="86" t="s">
        <v>559</v>
      </c>
      <c r="C2" s="87"/>
      <c r="D2" s="87"/>
      <c r="E2" s="87"/>
      <c r="F2" s="87"/>
      <c r="G2" s="87"/>
      <c r="H2" s="87"/>
      <c r="I2" s="87"/>
      <c r="J2" s="87"/>
      <c r="K2" s="87"/>
      <c r="L2" s="87"/>
      <c r="M2" s="87"/>
      <c r="N2" s="87"/>
      <c r="O2" s="87"/>
    </row>
    <row r="5" spans="2:15" ht="18.75">
      <c r="B5" s="88" t="s">
        <v>3348</v>
      </c>
      <c r="C5" s="87"/>
      <c r="D5" s="87"/>
      <c r="E5" s="87"/>
      <c r="F5" s="87"/>
      <c r="G5" s="87"/>
      <c r="H5" s="87"/>
      <c r="I5" s="87"/>
      <c r="J5" s="87"/>
      <c r="K5" s="87"/>
      <c r="L5" s="87"/>
    </row>
    <row r="9" spans="2:15">
      <c r="D9" s="92" t="s">
        <v>2877</v>
      </c>
      <c r="E9" s="93"/>
      <c r="F9" s="94"/>
    </row>
    <row r="10" spans="2:15">
      <c r="D10" s="95"/>
      <c r="E10" s="96"/>
      <c r="F10" s="97"/>
    </row>
    <row r="11" spans="2:15">
      <c r="D11" s="89" t="s">
        <v>3349</v>
      </c>
      <c r="E11" s="89" t="s">
        <v>3350</v>
      </c>
      <c r="F11" s="89" t="s">
        <v>3351</v>
      </c>
    </row>
    <row r="12" spans="2:15">
      <c r="D12" s="91"/>
      <c r="E12" s="91"/>
      <c r="F12" s="91"/>
    </row>
    <row r="13" spans="2:15">
      <c r="D13" s="45" t="s">
        <v>3219</v>
      </c>
      <c r="E13" s="45" t="s">
        <v>3225</v>
      </c>
      <c r="F13" s="45" t="s">
        <v>3223</v>
      </c>
      <c r="K13" s="13" t="str">
        <f>Show!$B$36&amp;"S.02.02.01.01 Rows {"&amp;COLUMN($C$1)&amp;"}"&amp;"@ForceFilingCode:true"</f>
        <v>!S.02.02.01.01 Rows {3}@ForceFilingCode:true</v>
      </c>
      <c r="L13" s="13" t="str">
        <f>Show!$B$36&amp;"S.02.02.01.01 Columns {"&amp;COLUMN($D$1)&amp;"}"</f>
        <v>!S.02.02.01.01 Columns {4}</v>
      </c>
    </row>
    <row r="14" spans="2:15">
      <c r="B14" s="43" t="s">
        <v>2880</v>
      </c>
      <c r="C14" s="44" t="s">
        <v>2878</v>
      </c>
      <c r="D14" s="58"/>
      <c r="E14" s="67"/>
      <c r="F14" s="59"/>
    </row>
    <row r="15" spans="2:15">
      <c r="B15" s="47" t="s">
        <v>3252</v>
      </c>
      <c r="C15" s="44" t="s">
        <v>2878</v>
      </c>
      <c r="D15" s="56"/>
      <c r="E15" s="66"/>
      <c r="F15" s="57"/>
    </row>
    <row r="16" spans="2:15">
      <c r="B16" s="49" t="s">
        <v>3259</v>
      </c>
      <c r="C16" s="41" t="s">
        <v>2885</v>
      </c>
      <c r="D16" s="60"/>
      <c r="E16" s="60"/>
      <c r="F16" s="60"/>
    </row>
    <row r="17" spans="2:6" ht="45">
      <c r="B17" s="49" t="s">
        <v>3352</v>
      </c>
      <c r="C17" s="41" t="s">
        <v>2887</v>
      </c>
      <c r="D17" s="60"/>
      <c r="E17" s="60"/>
      <c r="F17" s="60"/>
    </row>
    <row r="18" spans="2:6">
      <c r="B18" s="49" t="s">
        <v>3267</v>
      </c>
      <c r="C18" s="41" t="s">
        <v>2889</v>
      </c>
      <c r="D18" s="60"/>
      <c r="E18" s="60"/>
      <c r="F18" s="60"/>
    </row>
    <row r="19" spans="2:6">
      <c r="B19" s="49" t="s">
        <v>3353</v>
      </c>
      <c r="C19" s="41" t="s">
        <v>3078</v>
      </c>
      <c r="D19" s="60"/>
      <c r="E19" s="60"/>
      <c r="F19" s="60"/>
    </row>
    <row r="20" spans="2:6" ht="30">
      <c r="B20" s="49" t="s">
        <v>3354</v>
      </c>
      <c r="C20" s="41" t="s">
        <v>2891</v>
      </c>
      <c r="D20" s="60"/>
      <c r="E20" s="60"/>
      <c r="F20" s="60"/>
    </row>
    <row r="21" spans="2:6">
      <c r="B21" s="49" t="s">
        <v>3355</v>
      </c>
      <c r="C21" s="41" t="s">
        <v>2893</v>
      </c>
      <c r="D21" s="60"/>
      <c r="E21" s="60"/>
      <c r="F21" s="60"/>
    </row>
    <row r="22" spans="2:6">
      <c r="B22" s="49" t="s">
        <v>3288</v>
      </c>
      <c r="C22" s="41" t="s">
        <v>2899</v>
      </c>
      <c r="D22" s="63"/>
      <c r="E22" s="63"/>
      <c r="F22" s="63"/>
    </row>
    <row r="23" spans="2:6">
      <c r="B23" s="47" t="s">
        <v>2389</v>
      </c>
      <c r="C23" s="44" t="s">
        <v>2878</v>
      </c>
      <c r="D23" s="56"/>
      <c r="E23" s="66"/>
      <c r="F23" s="57"/>
    </row>
    <row r="24" spans="2:6">
      <c r="B24" s="49" t="s">
        <v>3356</v>
      </c>
      <c r="C24" s="41" t="s">
        <v>2901</v>
      </c>
      <c r="D24" s="60"/>
      <c r="E24" s="60"/>
      <c r="F24" s="60"/>
    </row>
    <row r="25" spans="2:6">
      <c r="B25" s="49" t="s">
        <v>3357</v>
      </c>
      <c r="C25" s="41" t="s">
        <v>2903</v>
      </c>
      <c r="D25" s="60"/>
      <c r="E25" s="60"/>
      <c r="F25" s="60"/>
    </row>
    <row r="26" spans="2:6">
      <c r="B26" s="49" t="s">
        <v>3358</v>
      </c>
      <c r="C26" s="41" t="s">
        <v>2905</v>
      </c>
      <c r="D26" s="60"/>
      <c r="E26" s="60"/>
      <c r="F26" s="60"/>
    </row>
    <row r="27" spans="2:6">
      <c r="B27" s="49" t="s">
        <v>2481</v>
      </c>
      <c r="C27" s="41" t="s">
        <v>2907</v>
      </c>
      <c r="D27" s="60"/>
      <c r="E27" s="60"/>
      <c r="F27" s="60"/>
    </row>
    <row r="28" spans="2:6">
      <c r="B28" s="49" t="s">
        <v>3359</v>
      </c>
      <c r="C28" s="41" t="s">
        <v>2909</v>
      </c>
      <c r="D28" s="60"/>
      <c r="E28" s="60"/>
      <c r="F28" s="60"/>
    </row>
    <row r="29" spans="2:6">
      <c r="B29" s="49" t="s">
        <v>2698</v>
      </c>
      <c r="C29" s="41" t="s">
        <v>2911</v>
      </c>
      <c r="D29" s="60"/>
      <c r="E29" s="60"/>
      <c r="F29" s="60"/>
    </row>
    <row r="30" spans="2:6">
      <c r="B30" s="49" t="s">
        <v>3360</v>
      </c>
      <c r="C30" s="41" t="s">
        <v>2913</v>
      </c>
      <c r="D30" s="60"/>
      <c r="E30" s="60"/>
      <c r="F30" s="60"/>
    </row>
    <row r="31" spans="2:6">
      <c r="B31" s="49" t="s">
        <v>3313</v>
      </c>
      <c r="C31" s="41" t="s">
        <v>2919</v>
      </c>
      <c r="D31" s="60"/>
      <c r="E31" s="60"/>
      <c r="F31" s="60"/>
    </row>
    <row r="33" spans="2:12">
      <c r="K33" s="13" t="str">
        <f>Show!$B$36&amp;Show!$B$36&amp;"S.02.02.01.01 Rows {"&amp;COLUMN($C$1)&amp;"}"</f>
        <v>!!S.02.02.01.01 Rows {3}</v>
      </c>
      <c r="L33" s="13" t="str">
        <f>Show!$B$36&amp;Show!$B$36&amp;"S.02.02.01.01 Columns {"&amp;COLUMN($F$1)&amp;"}"</f>
        <v>!!S.02.02.01.01 Columns {6}</v>
      </c>
    </row>
    <row r="35" spans="2:12" ht="18.75">
      <c r="B35" s="88" t="s">
        <v>3361</v>
      </c>
      <c r="C35" s="87"/>
      <c r="D35" s="87"/>
      <c r="E35" s="87"/>
      <c r="F35" s="87"/>
      <c r="G35" s="87"/>
      <c r="H35" s="87"/>
      <c r="I35" s="87"/>
      <c r="J35" s="87"/>
      <c r="K35" s="87"/>
      <c r="L35" s="87"/>
    </row>
    <row r="39" spans="2:12">
      <c r="D39" s="89" t="s">
        <v>2877</v>
      </c>
    </row>
    <row r="40" spans="2:12">
      <c r="D40" s="91"/>
    </row>
    <row r="41" spans="2:12">
      <c r="D41" s="89" t="s">
        <v>3362</v>
      </c>
    </row>
    <row r="42" spans="2:12">
      <c r="D42" s="91"/>
    </row>
    <row r="43" spans="2:12">
      <c r="D43" s="42" t="s">
        <v>3229</v>
      </c>
      <c r="K43" s="13" t="str">
        <f>Show!$B$36&amp;"S.02.02.01.02 Rows {"&amp;COLUMN($C$1)&amp;"}"&amp;"@ForceFilingCode:true"</f>
        <v>!S.02.02.01.02 Rows {3}@ForceFilingCode:true</v>
      </c>
      <c r="L43" s="13" t="str">
        <f>Show!$B$36&amp;"S.02.02.01.02 Columns {"&amp;COLUMN($D$1)&amp;"}"</f>
        <v>!S.02.02.01.02 Columns {4}</v>
      </c>
    </row>
    <row r="44" spans="2:12">
      <c r="B44" s="43" t="s">
        <v>3363</v>
      </c>
      <c r="C44" s="41" t="s">
        <v>2883</v>
      </c>
      <c r="D44" s="68"/>
    </row>
    <row r="45" spans="2:12">
      <c r="B45" s="43" t="s">
        <v>2880</v>
      </c>
      <c r="C45" s="44" t="s">
        <v>2878</v>
      </c>
      <c r="D45" s="48"/>
    </row>
    <row r="46" spans="2:12">
      <c r="B46" s="47" t="s">
        <v>3252</v>
      </c>
      <c r="C46" s="44" t="s">
        <v>2878</v>
      </c>
      <c r="D46" s="46"/>
    </row>
    <row r="47" spans="2:12">
      <c r="B47" s="49" t="s">
        <v>3259</v>
      </c>
      <c r="C47" s="41" t="s">
        <v>2885</v>
      </c>
      <c r="D47" s="60"/>
    </row>
    <row r="48" spans="2:12" ht="45">
      <c r="B48" s="49" t="s">
        <v>3352</v>
      </c>
      <c r="C48" s="41" t="s">
        <v>2887</v>
      </c>
      <c r="D48" s="60"/>
    </row>
    <row r="49" spans="2:12">
      <c r="B49" s="49" t="s">
        <v>3267</v>
      </c>
      <c r="C49" s="41" t="s">
        <v>2889</v>
      </c>
      <c r="D49" s="60"/>
    </row>
    <row r="50" spans="2:12">
      <c r="B50" s="49" t="s">
        <v>3353</v>
      </c>
      <c r="C50" s="41" t="s">
        <v>3078</v>
      </c>
      <c r="D50" s="60"/>
    </row>
    <row r="51" spans="2:12" ht="30">
      <c r="B51" s="49" t="s">
        <v>3354</v>
      </c>
      <c r="C51" s="41" t="s">
        <v>2891</v>
      </c>
      <c r="D51" s="60"/>
    </row>
    <row r="52" spans="2:12">
      <c r="B52" s="49" t="s">
        <v>3355</v>
      </c>
      <c r="C52" s="41" t="s">
        <v>2893</v>
      </c>
      <c r="D52" s="60"/>
    </row>
    <row r="53" spans="2:12">
      <c r="B53" s="49" t="s">
        <v>3288</v>
      </c>
      <c r="C53" s="41" t="s">
        <v>2899</v>
      </c>
      <c r="D53" s="63"/>
    </row>
    <row r="54" spans="2:12">
      <c r="B54" s="47" t="s">
        <v>2389</v>
      </c>
      <c r="C54" s="44" t="s">
        <v>2878</v>
      </c>
      <c r="D54" s="46"/>
    </row>
    <row r="55" spans="2:12">
      <c r="B55" s="49" t="s">
        <v>3356</v>
      </c>
      <c r="C55" s="41" t="s">
        <v>2901</v>
      </c>
      <c r="D55" s="60"/>
    </row>
    <row r="56" spans="2:12">
      <c r="B56" s="49" t="s">
        <v>3357</v>
      </c>
      <c r="C56" s="41" t="s">
        <v>2903</v>
      </c>
      <c r="D56" s="60"/>
    </row>
    <row r="57" spans="2:12">
      <c r="B57" s="49" t="s">
        <v>3358</v>
      </c>
      <c r="C57" s="41" t="s">
        <v>2905</v>
      </c>
      <c r="D57" s="60"/>
    </row>
    <row r="58" spans="2:12">
      <c r="B58" s="49" t="s">
        <v>2481</v>
      </c>
      <c r="C58" s="41" t="s">
        <v>2907</v>
      </c>
      <c r="D58" s="60"/>
    </row>
    <row r="59" spans="2:12">
      <c r="B59" s="49" t="s">
        <v>3359</v>
      </c>
      <c r="C59" s="41" t="s">
        <v>2909</v>
      </c>
      <c r="D59" s="60"/>
    </row>
    <row r="60" spans="2:12">
      <c r="B60" s="49" t="s">
        <v>2698</v>
      </c>
      <c r="C60" s="41" t="s">
        <v>2911</v>
      </c>
      <c r="D60" s="60"/>
    </row>
    <row r="61" spans="2:12">
      <c r="B61" s="49" t="s">
        <v>3360</v>
      </c>
      <c r="C61" s="41" t="s">
        <v>2913</v>
      </c>
      <c r="D61" s="60"/>
    </row>
    <row r="62" spans="2:12">
      <c r="B62" s="49" t="s">
        <v>3313</v>
      </c>
      <c r="C62" s="41" t="s">
        <v>2919</v>
      </c>
      <c r="D62" s="60"/>
    </row>
    <row r="64" spans="2:12">
      <c r="K64" s="13" t="str">
        <f>Show!$B$36&amp;Show!$B$36&amp;"S.02.02.01.02 Rows {"&amp;COLUMN($C$1)&amp;"}"</f>
        <v>!!S.02.02.01.02 Rows {3}</v>
      </c>
      <c r="L64" s="13" t="str">
        <f>Show!$B$36&amp;Show!$B$36&amp;"S.02.02.01.02 Columns {"&amp;COLUMN($D$1)&amp;"}"</f>
        <v>!!S.02.02.01.02 Columns {4}</v>
      </c>
    </row>
  </sheetData>
  <sheetProtection sheet="1" objects="1" scenarios="1"/>
  <mergeCells count="9">
    <mergeCell ref="B35:L35"/>
    <mergeCell ref="D39:D40"/>
    <mergeCell ref="D41:D42"/>
    <mergeCell ref="B2:O2"/>
    <mergeCell ref="B5:L5"/>
    <mergeCell ref="D9:F10"/>
    <mergeCell ref="D11:D12"/>
    <mergeCell ref="E11:E12"/>
    <mergeCell ref="F11:F12"/>
  </mergeCells>
  <dataValidations count="1">
    <dataValidation type="list" errorStyle="warning" allowBlank="1" showInputMessage="1" showErrorMessage="1" sqref="D44" xr:uid="{31883697-ADD1-4B93-A254-22D7E0DA13B1}">
      <formula1>hier_CU_5</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E5C8A-E018-4681-BAD0-EBC5156BB7C6}">
  <sheetPr codeName="Blad41"/>
  <dimension ref="B2:P40"/>
  <sheetViews>
    <sheetView showGridLines="0" workbookViewId="0"/>
  </sheetViews>
  <sheetFormatPr defaultRowHeight="15"/>
  <cols>
    <col min="2" max="2" width="41.5703125" bestFit="1" customWidth="1"/>
    <col min="3" max="3" width="40.7109375" customWidth="1"/>
    <col min="4" max="6" width="15.7109375" customWidth="1"/>
    <col min="7" max="7" width="40.7109375" customWidth="1"/>
  </cols>
  <sheetData>
    <row r="2" spans="2:16" ht="23.25">
      <c r="B2" s="86" t="s">
        <v>561</v>
      </c>
      <c r="C2" s="87"/>
      <c r="D2" s="87"/>
      <c r="E2" s="87"/>
      <c r="F2" s="87"/>
      <c r="G2" s="87"/>
      <c r="H2" s="87"/>
      <c r="I2" s="87"/>
      <c r="J2" s="87"/>
      <c r="K2" s="87"/>
      <c r="L2" s="87"/>
      <c r="M2" s="87"/>
      <c r="N2" s="87"/>
      <c r="O2" s="87"/>
    </row>
    <row r="5" spans="2:16" ht="18.75">
      <c r="B5" s="88" t="s">
        <v>3364</v>
      </c>
      <c r="C5" s="87"/>
      <c r="D5" s="87"/>
      <c r="E5" s="87"/>
      <c r="F5" s="87"/>
      <c r="G5" s="87"/>
      <c r="H5" s="87"/>
      <c r="I5" s="87"/>
      <c r="J5" s="87"/>
      <c r="K5" s="87"/>
      <c r="L5" s="87"/>
    </row>
    <row r="9" spans="2:16">
      <c r="D9" s="89" t="s">
        <v>2877</v>
      </c>
    </row>
    <row r="10" spans="2:16">
      <c r="D10" s="91"/>
    </row>
    <row r="11" spans="2:16" ht="45">
      <c r="D11" s="55" t="s">
        <v>3365</v>
      </c>
    </row>
    <row r="12" spans="2:16">
      <c r="D12" s="45" t="s">
        <v>2879</v>
      </c>
      <c r="O12" s="13" t="str">
        <f>Show!$B$37&amp;"S.02.03.07.01 Rows {"&amp;COLUMN($C$1)&amp;"}"&amp;"@ForceFilingCode:true"</f>
        <v>!S.02.03.07.01 Rows {3}@ForceFilingCode:true</v>
      </c>
      <c r="P12" s="13" t="str">
        <f>Show!$B$37&amp;"S.02.03.07.01 Columns {"&amp;COLUMN($D$1)&amp;"}"</f>
        <v>!S.02.03.07.01 Columns {4}</v>
      </c>
    </row>
    <row r="13" spans="2:16">
      <c r="B13" s="43" t="s">
        <v>2880</v>
      </c>
      <c r="C13" s="44" t="s">
        <v>2878</v>
      </c>
      <c r="D13" s="46"/>
    </row>
    <row r="14" spans="2:16">
      <c r="B14" s="47" t="s">
        <v>3366</v>
      </c>
      <c r="C14" s="41" t="s">
        <v>2883</v>
      </c>
      <c r="D14" s="60"/>
    </row>
    <row r="16" spans="2:16">
      <c r="O16" s="13" t="str">
        <f>Show!$B$37&amp;Show!$B$37&amp;"S.02.03.07.01 Rows {"&amp;COLUMN($C$1)&amp;"}"</f>
        <v>!!S.02.03.07.01 Rows {3}</v>
      </c>
      <c r="P16" s="13" t="str">
        <f>Show!$B$37&amp;Show!$B$37&amp;"S.02.03.07.01 Columns {"&amp;COLUMN($D$1)&amp;"}"</f>
        <v>!!S.02.03.07.01 Columns {4}</v>
      </c>
    </row>
    <row r="18" spans="2:16" ht="18.75">
      <c r="B18" s="88" t="s">
        <v>3367</v>
      </c>
      <c r="C18" s="87"/>
      <c r="D18" s="87"/>
      <c r="E18" s="87"/>
      <c r="F18" s="87"/>
      <c r="G18" s="87"/>
      <c r="H18" s="87"/>
      <c r="I18" s="87"/>
      <c r="J18" s="87"/>
      <c r="K18" s="87"/>
      <c r="L18" s="87"/>
    </row>
    <row r="22" spans="2:16">
      <c r="B22" s="89" t="s">
        <v>3368</v>
      </c>
      <c r="C22" s="92" t="s">
        <v>2877</v>
      </c>
      <c r="D22" s="93"/>
      <c r="E22" s="93"/>
      <c r="F22" s="93"/>
      <c r="G22" s="94"/>
    </row>
    <row r="23" spans="2:16">
      <c r="B23" s="90"/>
      <c r="C23" s="95"/>
      <c r="D23" s="96"/>
      <c r="E23" s="96"/>
      <c r="F23" s="96"/>
      <c r="G23" s="97"/>
    </row>
    <row r="24" spans="2:16" ht="45">
      <c r="B24" s="91"/>
      <c r="C24" s="55" t="s">
        <v>3369</v>
      </c>
      <c r="D24" s="55" t="s">
        <v>3370</v>
      </c>
      <c r="E24" s="55" t="s">
        <v>3371</v>
      </c>
      <c r="F24" s="55" t="s">
        <v>3365</v>
      </c>
      <c r="G24" s="55" t="s">
        <v>3372</v>
      </c>
    </row>
    <row r="25" spans="2:16">
      <c r="B25" s="42" t="s">
        <v>3219</v>
      </c>
      <c r="C25" s="42" t="s">
        <v>3223</v>
      </c>
      <c r="D25" s="42" t="s">
        <v>3229</v>
      </c>
      <c r="E25" s="42" t="s">
        <v>3231</v>
      </c>
      <c r="F25" s="42" t="s">
        <v>3233</v>
      </c>
      <c r="G25" s="42" t="s">
        <v>3234</v>
      </c>
      <c r="O25" s="13" t="str">
        <f>Show!$B$37&amp;"S.02.03.07.02 Rows {"&amp;COLUMN($B$1)&amp;"}"&amp;"@ForceFilingCode:true"</f>
        <v>!S.02.03.07.02 Rows {2}@ForceFilingCode:true</v>
      </c>
      <c r="P25" s="13" t="str">
        <f>Show!$B$37&amp;"S.02.03.07.02 Columns {"&amp;COLUMN($B$1)&amp;"}"</f>
        <v>!S.02.03.07.02 Columns {2}</v>
      </c>
    </row>
    <row r="26" spans="2:16">
      <c r="B26" s="50"/>
      <c r="C26" s="51"/>
      <c r="D26" s="60"/>
      <c r="E26" s="60"/>
      <c r="F26" s="60"/>
      <c r="G26" s="51"/>
    </row>
    <row r="28" spans="2:16">
      <c r="O28" s="13" t="str">
        <f>Show!$B$37&amp;Show!$B$37&amp;"S.02.03.07.02 Rows {"&amp;COLUMN($B$1)&amp;"}"</f>
        <v>!!S.02.03.07.02 Rows {2}</v>
      </c>
      <c r="P28" s="13" t="str">
        <f>Show!$B$37&amp;Show!$B$37&amp;"S.02.03.07.02 Columns {"&amp;COLUMN($G$1)&amp;"}"</f>
        <v>!!S.02.03.07.02 Columns {7}</v>
      </c>
    </row>
    <row r="30" spans="2:16" ht="18.75">
      <c r="B30" s="88" t="s">
        <v>3373</v>
      </c>
      <c r="C30" s="87"/>
      <c r="D30" s="87"/>
      <c r="E30" s="87"/>
      <c r="F30" s="87"/>
      <c r="G30" s="87"/>
      <c r="H30" s="87"/>
      <c r="I30" s="87"/>
      <c r="J30" s="87"/>
      <c r="K30" s="87"/>
      <c r="L30" s="87"/>
    </row>
    <row r="34" spans="2:16">
      <c r="B34" s="89" t="s">
        <v>3374</v>
      </c>
      <c r="C34" s="92" t="s">
        <v>2877</v>
      </c>
      <c r="D34" s="93"/>
      <c r="E34" s="93"/>
      <c r="F34" s="94"/>
    </row>
    <row r="35" spans="2:16">
      <c r="B35" s="90"/>
      <c r="C35" s="95"/>
      <c r="D35" s="96"/>
      <c r="E35" s="96"/>
      <c r="F35" s="97"/>
    </row>
    <row r="36" spans="2:16" ht="30">
      <c r="B36" s="91"/>
      <c r="C36" s="55" t="s">
        <v>3376</v>
      </c>
      <c r="D36" s="55" t="s">
        <v>3377</v>
      </c>
      <c r="E36" s="55" t="s">
        <v>3378</v>
      </c>
      <c r="F36" s="55" t="s">
        <v>3379</v>
      </c>
    </row>
    <row r="37" spans="2:16">
      <c r="B37" s="42" t="s">
        <v>3375</v>
      </c>
      <c r="C37" s="42" t="s">
        <v>3236</v>
      </c>
      <c r="D37" s="42" t="s">
        <v>3239</v>
      </c>
      <c r="E37" s="42" t="s">
        <v>3241</v>
      </c>
      <c r="F37" s="42" t="s">
        <v>3243</v>
      </c>
      <c r="O37" s="13" t="str">
        <f>Show!$B$37&amp;"S.02.03.07.03 Rows {"&amp;COLUMN($B$1)&amp;"}"&amp;"@ForceFilingCode:true"</f>
        <v>!S.02.03.07.03 Rows {2}@ForceFilingCode:true</v>
      </c>
      <c r="P37" s="13" t="str">
        <f>Show!$B$37&amp;"S.02.03.07.03 Columns {"&amp;COLUMN($B$1)&amp;"}"</f>
        <v>!S.02.03.07.03 Columns {2}</v>
      </c>
    </row>
    <row r="38" spans="2:16">
      <c r="B38" s="50"/>
      <c r="C38" s="51"/>
      <c r="D38" s="60"/>
      <c r="E38" s="60"/>
      <c r="F38" s="60"/>
    </row>
    <row r="40" spans="2:16">
      <c r="O40" s="13" t="str">
        <f>Show!$B$37&amp;Show!$B$37&amp;"S.02.03.07.03 Rows {"&amp;COLUMN($B$1)&amp;"}"</f>
        <v>!!S.02.03.07.03 Rows {2}</v>
      </c>
      <c r="P40" s="13" t="str">
        <f>Show!$B$37&amp;Show!$B$37&amp;"S.02.03.07.03 Columns {"&amp;COLUMN($F$1)&amp;"}"</f>
        <v>!!S.02.03.07.03 Columns {6}</v>
      </c>
    </row>
  </sheetData>
  <sheetProtection sheet="1" objects="1" scenarios="1"/>
  <mergeCells count="9">
    <mergeCell ref="B30:L30"/>
    <mergeCell ref="B34:B36"/>
    <mergeCell ref="C34:F35"/>
    <mergeCell ref="B2:O2"/>
    <mergeCell ref="B5:L5"/>
    <mergeCell ref="D9:D10"/>
    <mergeCell ref="B18:L18"/>
    <mergeCell ref="B22:B24"/>
    <mergeCell ref="C22:G23"/>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8E6BC-97CC-46DF-93FB-B5DB17AC87A2}">
  <sheetPr codeName="Blad42"/>
  <dimension ref="B2:O62"/>
  <sheetViews>
    <sheetView showGridLines="0" workbookViewId="0"/>
  </sheetViews>
  <sheetFormatPr defaultRowHeight="15"/>
  <cols>
    <col min="2" max="2" width="85.28515625" bestFit="1" customWidth="1"/>
    <col min="4" max="5" width="15.7109375" customWidth="1"/>
  </cols>
  <sheetData>
    <row r="2" spans="2:15" ht="23.25">
      <c r="B2" s="86" t="s">
        <v>563</v>
      </c>
      <c r="C2" s="87"/>
      <c r="D2" s="87"/>
      <c r="E2" s="87"/>
      <c r="F2" s="87"/>
      <c r="G2" s="87"/>
      <c r="H2" s="87"/>
      <c r="I2" s="87"/>
      <c r="J2" s="87"/>
      <c r="K2" s="87"/>
      <c r="L2" s="87"/>
      <c r="M2" s="87"/>
      <c r="N2" s="87"/>
      <c r="O2" s="87"/>
    </row>
    <row r="5" spans="2:15" ht="18.75">
      <c r="B5" s="88" t="s">
        <v>3380</v>
      </c>
      <c r="C5" s="87"/>
      <c r="D5" s="87"/>
      <c r="E5" s="87"/>
      <c r="F5" s="87"/>
      <c r="G5" s="87"/>
      <c r="H5" s="87"/>
      <c r="I5" s="87"/>
      <c r="J5" s="87"/>
      <c r="K5" s="87"/>
      <c r="L5" s="87"/>
    </row>
    <row r="9" spans="2:15">
      <c r="D9" s="92" t="s">
        <v>2877</v>
      </c>
      <c r="E9" s="94"/>
    </row>
    <row r="10" spans="2:15">
      <c r="D10" s="95"/>
      <c r="E10" s="97"/>
    </row>
    <row r="11" spans="2:15">
      <c r="D11" s="89" t="s">
        <v>3381</v>
      </c>
      <c r="E11" s="89" t="s">
        <v>3382</v>
      </c>
    </row>
    <row r="12" spans="2:15">
      <c r="D12" s="91"/>
      <c r="E12" s="91"/>
    </row>
    <row r="13" spans="2:15">
      <c r="D13" s="45" t="s">
        <v>2879</v>
      </c>
      <c r="E13" s="45" t="s">
        <v>3219</v>
      </c>
      <c r="J13" s="13" t="str">
        <f>Show!$B$38&amp;"S.03.01.01.01 Rows {"&amp;COLUMN($C$1)&amp;"}"&amp;"@ForceFilingCode:true"</f>
        <v>!S.03.01.01.01 Rows {3}@ForceFilingCode:true</v>
      </c>
      <c r="K13" s="13" t="str">
        <f>Show!$B$38&amp;"S.03.01.01.01 Columns {"&amp;COLUMN($D$1)&amp;"}"</f>
        <v>!S.03.01.01.01 Columns {4}</v>
      </c>
    </row>
    <row r="14" spans="2:15">
      <c r="B14" s="43" t="s">
        <v>2880</v>
      </c>
      <c r="C14" s="44" t="s">
        <v>2878</v>
      </c>
      <c r="D14" s="56"/>
      <c r="E14" s="57"/>
    </row>
    <row r="15" spans="2:15">
      <c r="B15" s="47" t="s">
        <v>3383</v>
      </c>
      <c r="C15" s="41" t="s">
        <v>2883</v>
      </c>
      <c r="D15" s="60"/>
      <c r="E15" s="60"/>
    </row>
    <row r="16" spans="2:15" ht="30">
      <c r="B16" s="49" t="s">
        <v>3384</v>
      </c>
      <c r="C16" s="41" t="s">
        <v>2885</v>
      </c>
      <c r="D16" s="60"/>
      <c r="E16" s="60"/>
    </row>
    <row r="17" spans="2:5">
      <c r="B17" s="47" t="s">
        <v>3385</v>
      </c>
      <c r="C17" s="41" t="s">
        <v>2887</v>
      </c>
      <c r="D17" s="60"/>
      <c r="E17" s="60"/>
    </row>
    <row r="18" spans="2:5" ht="30">
      <c r="B18" s="49" t="s">
        <v>3386</v>
      </c>
      <c r="C18" s="41" t="s">
        <v>2889</v>
      </c>
      <c r="D18" s="63"/>
      <c r="E18" s="63"/>
    </row>
    <row r="19" spans="2:5">
      <c r="B19" s="47" t="s">
        <v>3387</v>
      </c>
      <c r="C19" s="44" t="s">
        <v>2878</v>
      </c>
      <c r="D19" s="58"/>
      <c r="E19" s="57"/>
    </row>
    <row r="20" spans="2:5">
      <c r="B20" s="49" t="s">
        <v>3388</v>
      </c>
      <c r="C20" s="44" t="s">
        <v>2899</v>
      </c>
      <c r="D20" s="48"/>
      <c r="E20" s="60"/>
    </row>
    <row r="21" spans="2:5">
      <c r="B21" s="49" t="s">
        <v>3389</v>
      </c>
      <c r="C21" s="44" t="s">
        <v>2901</v>
      </c>
      <c r="D21" s="48"/>
      <c r="E21" s="60"/>
    </row>
    <row r="22" spans="2:5">
      <c r="B22" s="49" t="s">
        <v>3390</v>
      </c>
      <c r="C22" s="44" t="s">
        <v>2903</v>
      </c>
      <c r="D22" s="48"/>
      <c r="E22" s="60"/>
    </row>
    <row r="23" spans="2:5">
      <c r="B23" s="49" t="s">
        <v>3391</v>
      </c>
      <c r="C23" s="44" t="s">
        <v>2905</v>
      </c>
      <c r="D23" s="48"/>
      <c r="E23" s="60"/>
    </row>
    <row r="24" spans="2:5">
      <c r="B24" s="49" t="s">
        <v>3392</v>
      </c>
      <c r="C24" s="44" t="s">
        <v>2919</v>
      </c>
      <c r="D24" s="48"/>
      <c r="E24" s="63"/>
    </row>
    <row r="25" spans="2:5">
      <c r="B25" s="47" t="s">
        <v>3393</v>
      </c>
      <c r="C25" s="44" t="s">
        <v>2878</v>
      </c>
      <c r="D25" s="58"/>
      <c r="E25" s="57"/>
    </row>
    <row r="26" spans="2:5">
      <c r="B26" s="49" t="s">
        <v>3394</v>
      </c>
      <c r="C26" s="44" t="s">
        <v>2921</v>
      </c>
      <c r="D26" s="48"/>
      <c r="E26" s="60"/>
    </row>
    <row r="27" spans="2:5">
      <c r="B27" s="49" t="s">
        <v>3395</v>
      </c>
      <c r="C27" s="44" t="s">
        <v>2923</v>
      </c>
      <c r="D27" s="48"/>
      <c r="E27" s="60"/>
    </row>
    <row r="28" spans="2:5">
      <c r="B28" s="49" t="s">
        <v>3396</v>
      </c>
      <c r="C28" s="44" t="s">
        <v>2925</v>
      </c>
      <c r="D28" s="48"/>
      <c r="E28" s="60"/>
    </row>
    <row r="29" spans="2:5">
      <c r="B29" s="49" t="s">
        <v>3397</v>
      </c>
      <c r="C29" s="44" t="s">
        <v>2927</v>
      </c>
      <c r="D29" s="48"/>
      <c r="E29" s="60"/>
    </row>
    <row r="30" spans="2:5">
      <c r="B30" s="49" t="s">
        <v>3398</v>
      </c>
      <c r="C30" s="44" t="s">
        <v>2939</v>
      </c>
      <c r="D30" s="48"/>
      <c r="E30" s="63"/>
    </row>
    <row r="31" spans="2:5">
      <c r="B31" s="47" t="s">
        <v>2698</v>
      </c>
      <c r="C31" s="44" t="s">
        <v>2878</v>
      </c>
      <c r="D31" s="56"/>
      <c r="E31" s="57"/>
    </row>
    <row r="32" spans="2:5">
      <c r="B32" s="49" t="s">
        <v>3399</v>
      </c>
      <c r="C32" s="41" t="s">
        <v>2941</v>
      </c>
      <c r="D32" s="60"/>
      <c r="E32" s="63"/>
    </row>
    <row r="33" spans="2:12">
      <c r="B33" s="49" t="s">
        <v>3400</v>
      </c>
      <c r="C33" s="41" t="s">
        <v>2943</v>
      </c>
      <c r="D33" s="64"/>
      <c r="E33" s="46"/>
    </row>
    <row r="34" spans="2:12">
      <c r="B34" s="49" t="s">
        <v>3401</v>
      </c>
      <c r="C34" s="41" t="s">
        <v>2945</v>
      </c>
      <c r="D34" s="60"/>
      <c r="E34" s="63"/>
    </row>
    <row r="35" spans="2:12">
      <c r="B35" s="49" t="s">
        <v>3402</v>
      </c>
      <c r="C35" s="41" t="s">
        <v>2959</v>
      </c>
      <c r="D35" s="64"/>
      <c r="E35" s="46"/>
    </row>
    <row r="37" spans="2:12">
      <c r="J37" s="13" t="str">
        <f>Show!$B$38&amp;Show!$B$38&amp;"S.03.01.01.01 Rows {"&amp;COLUMN($C$1)&amp;"}"</f>
        <v>!!S.03.01.01.01 Rows {3}</v>
      </c>
      <c r="K37" s="13" t="str">
        <f>Show!$B$38&amp;Show!$B$38&amp;"S.03.01.01.01 Columns {"&amp;COLUMN($E$1)&amp;"}"</f>
        <v>!!S.03.01.01.01 Columns {5}</v>
      </c>
    </row>
    <row r="39" spans="2:12" ht="18.75">
      <c r="B39" s="88" t="s">
        <v>3403</v>
      </c>
      <c r="C39" s="87"/>
      <c r="D39" s="87"/>
      <c r="E39" s="87"/>
      <c r="F39" s="87"/>
      <c r="G39" s="87"/>
      <c r="H39" s="87"/>
      <c r="I39" s="87"/>
      <c r="J39" s="87"/>
      <c r="K39" s="87"/>
      <c r="L39" s="87"/>
    </row>
    <row r="43" spans="2:12">
      <c r="D43" s="92" t="s">
        <v>2877</v>
      </c>
      <c r="E43" s="94"/>
    </row>
    <row r="44" spans="2:12">
      <c r="D44" s="95"/>
      <c r="E44" s="97"/>
    </row>
    <row r="45" spans="2:12">
      <c r="D45" s="89" t="s">
        <v>3404</v>
      </c>
      <c r="E45" s="89" t="s">
        <v>3405</v>
      </c>
    </row>
    <row r="46" spans="2:12">
      <c r="D46" s="91"/>
      <c r="E46" s="91"/>
    </row>
    <row r="47" spans="2:12">
      <c r="D47" s="45" t="s">
        <v>3225</v>
      </c>
      <c r="E47" s="45" t="s">
        <v>3223</v>
      </c>
      <c r="J47" s="13" t="str">
        <f>Show!$B$38&amp;"S.03.01.01.02 Rows {"&amp;COLUMN($C$1)&amp;"}"&amp;"@ForceFilingCode:true"</f>
        <v>!S.03.01.01.02 Rows {3}@ForceFilingCode:true</v>
      </c>
      <c r="K47" s="13" t="str">
        <f>Show!$B$38&amp;"S.03.01.01.02 Columns {"&amp;COLUMN($D$1)&amp;"}"</f>
        <v>!S.03.01.01.02 Columns {4}</v>
      </c>
    </row>
    <row r="48" spans="2:12">
      <c r="B48" s="43" t="s">
        <v>2880</v>
      </c>
      <c r="C48" s="44" t="s">
        <v>2878</v>
      </c>
      <c r="D48" s="58"/>
      <c r="E48" s="59"/>
    </row>
    <row r="49" spans="2:11">
      <c r="B49" s="47" t="s">
        <v>3387</v>
      </c>
      <c r="C49" s="44" t="s">
        <v>2878</v>
      </c>
      <c r="D49" s="56"/>
      <c r="E49" s="59"/>
    </row>
    <row r="50" spans="2:11">
      <c r="B50" s="49" t="s">
        <v>3388</v>
      </c>
      <c r="C50" s="41" t="s">
        <v>2899</v>
      </c>
      <c r="D50" s="64"/>
      <c r="E50" s="48"/>
    </row>
    <row r="51" spans="2:11">
      <c r="B51" s="49" t="s">
        <v>3389</v>
      </c>
      <c r="C51" s="41" t="s">
        <v>2901</v>
      </c>
      <c r="D51" s="64"/>
      <c r="E51" s="48"/>
    </row>
    <row r="52" spans="2:11">
      <c r="B52" s="49" t="s">
        <v>3390</v>
      </c>
      <c r="C52" s="41" t="s">
        <v>2903</v>
      </c>
      <c r="D52" s="64"/>
      <c r="E52" s="48"/>
    </row>
    <row r="53" spans="2:11">
      <c r="B53" s="49" t="s">
        <v>3391</v>
      </c>
      <c r="C53" s="41" t="s">
        <v>2905</v>
      </c>
      <c r="D53" s="64"/>
      <c r="E53" s="48"/>
    </row>
    <row r="54" spans="2:11">
      <c r="B54" s="49" t="s">
        <v>3392</v>
      </c>
      <c r="C54" s="41" t="s">
        <v>2919</v>
      </c>
      <c r="D54" s="65"/>
      <c r="E54" s="48"/>
    </row>
    <row r="55" spans="2:11">
      <c r="B55" s="47" t="s">
        <v>3393</v>
      </c>
      <c r="C55" s="44" t="s">
        <v>2878</v>
      </c>
      <c r="D55" s="58"/>
      <c r="E55" s="57"/>
    </row>
    <row r="56" spans="2:11">
      <c r="B56" s="49" t="s">
        <v>3394</v>
      </c>
      <c r="C56" s="44" t="s">
        <v>2921</v>
      </c>
      <c r="D56" s="48"/>
      <c r="E56" s="60"/>
    </row>
    <row r="57" spans="2:11">
      <c r="B57" s="49" t="s">
        <v>3395</v>
      </c>
      <c r="C57" s="44" t="s">
        <v>2923</v>
      </c>
      <c r="D57" s="48"/>
      <c r="E57" s="60"/>
    </row>
    <row r="58" spans="2:11">
      <c r="B58" s="49" t="s">
        <v>3396</v>
      </c>
      <c r="C58" s="44" t="s">
        <v>2925</v>
      </c>
      <c r="D58" s="48"/>
      <c r="E58" s="60"/>
    </row>
    <row r="59" spans="2:11">
      <c r="B59" s="49" t="s">
        <v>3397</v>
      </c>
      <c r="C59" s="44" t="s">
        <v>2927</v>
      </c>
      <c r="D59" s="48"/>
      <c r="E59" s="60"/>
    </row>
    <row r="60" spans="2:11">
      <c r="B60" s="49" t="s">
        <v>3398</v>
      </c>
      <c r="C60" s="44" t="s">
        <v>2939</v>
      </c>
      <c r="D60" s="46"/>
      <c r="E60" s="60"/>
    </row>
    <row r="62" spans="2:11">
      <c r="J62" s="13" t="str">
        <f>Show!$B$38&amp;Show!$B$38&amp;"S.03.01.01.02 Rows {"&amp;COLUMN($C$1)&amp;"}"</f>
        <v>!!S.03.01.01.02 Rows {3}</v>
      </c>
      <c r="K62" s="13" t="str">
        <f>Show!$B$38&amp;Show!$B$38&amp;"S.03.01.01.02 Columns {"&amp;COLUMN($E$1)&amp;"}"</f>
        <v>!!S.03.01.01.02 Columns {5}</v>
      </c>
    </row>
  </sheetData>
  <sheetProtection sheet="1" objects="1" scenarios="1"/>
  <mergeCells count="9">
    <mergeCell ref="D43:E44"/>
    <mergeCell ref="D45:D46"/>
    <mergeCell ref="E45:E46"/>
    <mergeCell ref="B2:O2"/>
    <mergeCell ref="B5:L5"/>
    <mergeCell ref="D9:E10"/>
    <mergeCell ref="D11:D12"/>
    <mergeCell ref="E11:E12"/>
    <mergeCell ref="B39:L39"/>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1A611-5124-4742-878C-43DE32C0E1C3}">
  <sheetPr codeName="Blad43"/>
  <dimension ref="B2:O59"/>
  <sheetViews>
    <sheetView showGridLines="0" workbookViewId="0"/>
  </sheetViews>
  <sheetFormatPr defaultRowHeight="15"/>
  <cols>
    <col min="2" max="2" width="71.7109375" bestFit="1" customWidth="1"/>
    <col min="4" max="5" width="15.7109375" customWidth="1"/>
  </cols>
  <sheetData>
    <row r="2" spans="2:15" ht="23.25">
      <c r="B2" s="86" t="s">
        <v>563</v>
      </c>
      <c r="C2" s="87"/>
      <c r="D2" s="87"/>
      <c r="E2" s="87"/>
      <c r="F2" s="87"/>
      <c r="G2" s="87"/>
      <c r="H2" s="87"/>
      <c r="I2" s="87"/>
      <c r="J2" s="87"/>
      <c r="K2" s="87"/>
      <c r="L2" s="87"/>
      <c r="M2" s="87"/>
      <c r="N2" s="87"/>
      <c r="O2" s="87"/>
    </row>
    <row r="5" spans="2:15" ht="18.75">
      <c r="B5" s="88" t="s">
        <v>3406</v>
      </c>
      <c r="C5" s="87"/>
      <c r="D5" s="87"/>
      <c r="E5" s="87"/>
      <c r="F5" s="87"/>
      <c r="G5" s="87"/>
      <c r="H5" s="87"/>
      <c r="I5" s="87"/>
      <c r="J5" s="87"/>
      <c r="K5" s="87"/>
      <c r="L5" s="87"/>
    </row>
    <row r="9" spans="2:15">
      <c r="D9" s="92" t="s">
        <v>2877</v>
      </c>
      <c r="E9" s="94"/>
    </row>
    <row r="10" spans="2:15">
      <c r="D10" s="95"/>
      <c r="E10" s="97"/>
    </row>
    <row r="11" spans="2:15">
      <c r="D11" s="89" t="s">
        <v>3381</v>
      </c>
      <c r="E11" s="89" t="s">
        <v>3382</v>
      </c>
    </row>
    <row r="12" spans="2:15">
      <c r="D12" s="91"/>
      <c r="E12" s="91"/>
    </row>
    <row r="13" spans="2:15">
      <c r="D13" s="45" t="s">
        <v>2879</v>
      </c>
      <c r="E13" s="45" t="s">
        <v>3219</v>
      </c>
      <c r="J13" s="13" t="str">
        <f>Show!$B$39&amp;"S.03.01.04.01 Rows {"&amp;COLUMN($C$1)&amp;"}"&amp;"@ForceFilingCode:true"</f>
        <v>!S.03.01.04.01 Rows {3}@ForceFilingCode:true</v>
      </c>
      <c r="K13" s="13" t="str">
        <f>Show!$B$39&amp;"S.03.01.04.01 Columns {"&amp;COLUMN($D$1)&amp;"}"</f>
        <v>!S.03.01.04.01 Columns {4}</v>
      </c>
    </row>
    <row r="14" spans="2:15">
      <c r="B14" s="43" t="s">
        <v>2880</v>
      </c>
      <c r="C14" s="44" t="s">
        <v>2878</v>
      </c>
      <c r="D14" s="56"/>
      <c r="E14" s="57"/>
    </row>
    <row r="15" spans="2:15">
      <c r="B15" s="47" t="s">
        <v>3407</v>
      </c>
      <c r="C15" s="41" t="s">
        <v>2883</v>
      </c>
      <c r="D15" s="60"/>
      <c r="E15" s="60"/>
    </row>
    <row r="16" spans="2:15">
      <c r="B16" s="47" t="s">
        <v>3408</v>
      </c>
      <c r="C16" s="41" t="s">
        <v>2887</v>
      </c>
      <c r="D16" s="63"/>
      <c r="E16" s="63"/>
    </row>
    <row r="17" spans="2:5">
      <c r="B17" s="47" t="s">
        <v>3387</v>
      </c>
      <c r="C17" s="44" t="s">
        <v>2878</v>
      </c>
      <c r="D17" s="58"/>
      <c r="E17" s="57"/>
    </row>
    <row r="18" spans="2:5">
      <c r="B18" s="49" t="s">
        <v>3388</v>
      </c>
      <c r="C18" s="44" t="s">
        <v>2899</v>
      </c>
      <c r="D18" s="48"/>
      <c r="E18" s="60"/>
    </row>
    <row r="19" spans="2:5">
      <c r="B19" s="49" t="s">
        <v>3389</v>
      </c>
      <c r="C19" s="44" t="s">
        <v>2901</v>
      </c>
      <c r="D19" s="48"/>
      <c r="E19" s="60"/>
    </row>
    <row r="20" spans="2:5">
      <c r="B20" s="49" t="s">
        <v>3390</v>
      </c>
      <c r="C20" s="44" t="s">
        <v>2903</v>
      </c>
      <c r="D20" s="48"/>
      <c r="E20" s="60"/>
    </row>
    <row r="21" spans="2:5">
      <c r="B21" s="49" t="s">
        <v>3391</v>
      </c>
      <c r="C21" s="44" t="s">
        <v>2905</v>
      </c>
      <c r="D21" s="48"/>
      <c r="E21" s="60"/>
    </row>
    <row r="22" spans="2:5">
      <c r="B22" s="49" t="s">
        <v>3392</v>
      </c>
      <c r="C22" s="44" t="s">
        <v>2919</v>
      </c>
      <c r="D22" s="48"/>
      <c r="E22" s="63"/>
    </row>
    <row r="23" spans="2:5">
      <c r="B23" s="47" t="s">
        <v>3393</v>
      </c>
      <c r="C23" s="44" t="s">
        <v>2878</v>
      </c>
      <c r="D23" s="58"/>
      <c r="E23" s="57"/>
    </row>
    <row r="24" spans="2:5">
      <c r="B24" s="49" t="s">
        <v>3394</v>
      </c>
      <c r="C24" s="44" t="s">
        <v>2921</v>
      </c>
      <c r="D24" s="48"/>
      <c r="E24" s="60"/>
    </row>
    <row r="25" spans="2:5">
      <c r="B25" s="49" t="s">
        <v>3395</v>
      </c>
      <c r="C25" s="44" t="s">
        <v>2923</v>
      </c>
      <c r="D25" s="48"/>
      <c r="E25" s="60"/>
    </row>
    <row r="26" spans="2:5">
      <c r="B26" s="49" t="s">
        <v>3396</v>
      </c>
      <c r="C26" s="44" t="s">
        <v>2925</v>
      </c>
      <c r="D26" s="48"/>
      <c r="E26" s="60"/>
    </row>
    <row r="27" spans="2:5">
      <c r="B27" s="49" t="s">
        <v>3397</v>
      </c>
      <c r="C27" s="44" t="s">
        <v>2927</v>
      </c>
      <c r="D27" s="48"/>
      <c r="E27" s="60"/>
    </row>
    <row r="28" spans="2:5">
      <c r="B28" s="49" t="s">
        <v>3398</v>
      </c>
      <c r="C28" s="44" t="s">
        <v>2939</v>
      </c>
      <c r="D28" s="48"/>
      <c r="E28" s="63"/>
    </row>
    <row r="29" spans="2:5">
      <c r="B29" s="47" t="s">
        <v>2698</v>
      </c>
      <c r="C29" s="44" t="s">
        <v>2878</v>
      </c>
      <c r="D29" s="56"/>
      <c r="E29" s="57"/>
    </row>
    <row r="30" spans="2:5">
      <c r="B30" s="49" t="s">
        <v>3399</v>
      </c>
      <c r="C30" s="41" t="s">
        <v>2941</v>
      </c>
      <c r="D30" s="60"/>
      <c r="E30" s="60"/>
    </row>
    <row r="31" spans="2:5">
      <c r="B31" s="49" t="s">
        <v>3401</v>
      </c>
      <c r="C31" s="41" t="s">
        <v>2945</v>
      </c>
      <c r="D31" s="60"/>
      <c r="E31" s="63"/>
    </row>
    <row r="32" spans="2:5">
      <c r="B32" s="49" t="s">
        <v>3402</v>
      </c>
      <c r="C32" s="41" t="s">
        <v>2959</v>
      </c>
      <c r="D32" s="64"/>
      <c r="E32" s="46"/>
    </row>
    <row r="34" spans="2:12">
      <c r="J34" s="13" t="str">
        <f>Show!$B$39&amp;Show!$B$39&amp;"S.03.01.04.01 Rows {"&amp;COLUMN($C$1)&amp;"}"</f>
        <v>!!S.03.01.04.01 Rows {3}</v>
      </c>
      <c r="K34" s="13" t="str">
        <f>Show!$B$39&amp;Show!$B$39&amp;"S.03.01.04.01 Columns {"&amp;COLUMN($E$1)&amp;"}"</f>
        <v>!!S.03.01.04.01 Columns {5}</v>
      </c>
    </row>
    <row r="36" spans="2:12" ht="18.75">
      <c r="B36" s="88" t="s">
        <v>3409</v>
      </c>
      <c r="C36" s="87"/>
      <c r="D36" s="87"/>
      <c r="E36" s="87"/>
      <c r="F36" s="87"/>
      <c r="G36" s="87"/>
      <c r="H36" s="87"/>
      <c r="I36" s="87"/>
      <c r="J36" s="87"/>
      <c r="K36" s="87"/>
      <c r="L36" s="87"/>
    </row>
    <row r="40" spans="2:12">
      <c r="D40" s="92" t="s">
        <v>2877</v>
      </c>
      <c r="E40" s="94"/>
    </row>
    <row r="41" spans="2:12">
      <c r="D41" s="95"/>
      <c r="E41" s="97"/>
    </row>
    <row r="42" spans="2:12">
      <c r="D42" s="89" t="s">
        <v>3404</v>
      </c>
      <c r="E42" s="89" t="s">
        <v>3405</v>
      </c>
    </row>
    <row r="43" spans="2:12">
      <c r="D43" s="91"/>
      <c r="E43" s="91"/>
    </row>
    <row r="44" spans="2:12">
      <c r="D44" s="45" t="s">
        <v>3225</v>
      </c>
      <c r="E44" s="45" t="s">
        <v>3223</v>
      </c>
      <c r="J44" s="13" t="str">
        <f>Show!$B$39&amp;"S.03.01.04.02 Rows {"&amp;COLUMN($C$1)&amp;"}"&amp;"@ForceFilingCode:true"</f>
        <v>!S.03.01.04.02 Rows {3}@ForceFilingCode:true</v>
      </c>
      <c r="K44" s="13" t="str">
        <f>Show!$B$39&amp;"S.03.01.04.02 Columns {"&amp;COLUMN($D$1)&amp;"}"</f>
        <v>!S.03.01.04.02 Columns {4}</v>
      </c>
    </row>
    <row r="45" spans="2:12">
      <c r="B45" s="43" t="s">
        <v>2880</v>
      </c>
      <c r="C45" s="44" t="s">
        <v>2878</v>
      </c>
      <c r="D45" s="58"/>
      <c r="E45" s="59"/>
    </row>
    <row r="46" spans="2:12">
      <c r="B46" s="47" t="s">
        <v>3387</v>
      </c>
      <c r="C46" s="44" t="s">
        <v>2878</v>
      </c>
      <c r="D46" s="56"/>
      <c r="E46" s="59"/>
    </row>
    <row r="47" spans="2:12">
      <c r="B47" s="49" t="s">
        <v>3388</v>
      </c>
      <c r="C47" s="41" t="s">
        <v>2899</v>
      </c>
      <c r="D47" s="64"/>
      <c r="E47" s="48"/>
    </row>
    <row r="48" spans="2:12">
      <c r="B48" s="49" t="s">
        <v>3389</v>
      </c>
      <c r="C48" s="41" t="s">
        <v>2901</v>
      </c>
      <c r="D48" s="64"/>
      <c r="E48" s="48"/>
    </row>
    <row r="49" spans="2:11">
      <c r="B49" s="49" t="s">
        <v>3390</v>
      </c>
      <c r="C49" s="41" t="s">
        <v>2903</v>
      </c>
      <c r="D49" s="64"/>
      <c r="E49" s="48"/>
    </row>
    <row r="50" spans="2:11">
      <c r="B50" s="49" t="s">
        <v>3391</v>
      </c>
      <c r="C50" s="41" t="s">
        <v>2905</v>
      </c>
      <c r="D50" s="64"/>
      <c r="E50" s="48"/>
    </row>
    <row r="51" spans="2:11">
      <c r="B51" s="49" t="s">
        <v>3392</v>
      </c>
      <c r="C51" s="41" t="s">
        <v>2919</v>
      </c>
      <c r="D51" s="65"/>
      <c r="E51" s="48"/>
    </row>
    <row r="52" spans="2:11">
      <c r="B52" s="47" t="s">
        <v>3393</v>
      </c>
      <c r="C52" s="44" t="s">
        <v>2878</v>
      </c>
      <c r="D52" s="58"/>
      <c r="E52" s="57"/>
    </row>
    <row r="53" spans="2:11">
      <c r="B53" s="49" t="s">
        <v>3394</v>
      </c>
      <c r="C53" s="44" t="s">
        <v>2921</v>
      </c>
      <c r="D53" s="48"/>
      <c r="E53" s="60"/>
    </row>
    <row r="54" spans="2:11">
      <c r="B54" s="49" t="s">
        <v>3395</v>
      </c>
      <c r="C54" s="44" t="s">
        <v>2923</v>
      </c>
      <c r="D54" s="48"/>
      <c r="E54" s="60"/>
    </row>
    <row r="55" spans="2:11">
      <c r="B55" s="49" t="s">
        <v>3396</v>
      </c>
      <c r="C55" s="44" t="s">
        <v>2925</v>
      </c>
      <c r="D55" s="48"/>
      <c r="E55" s="60"/>
    </row>
    <row r="56" spans="2:11">
      <c r="B56" s="49" t="s">
        <v>3397</v>
      </c>
      <c r="C56" s="44" t="s">
        <v>2927</v>
      </c>
      <c r="D56" s="48"/>
      <c r="E56" s="60"/>
    </row>
    <row r="57" spans="2:11">
      <c r="B57" s="49" t="s">
        <v>3398</v>
      </c>
      <c r="C57" s="44" t="s">
        <v>2939</v>
      </c>
      <c r="D57" s="46"/>
      <c r="E57" s="60"/>
    </row>
    <row r="59" spans="2:11">
      <c r="J59" s="13" t="str">
        <f>Show!$B$39&amp;Show!$B$39&amp;"S.03.01.04.02 Rows {"&amp;COLUMN($C$1)&amp;"}"</f>
        <v>!!S.03.01.04.02 Rows {3}</v>
      </c>
      <c r="K59" s="13" t="str">
        <f>Show!$B$39&amp;Show!$B$39&amp;"S.03.01.04.02 Columns {"&amp;COLUMN($E$1)&amp;"}"</f>
        <v>!!S.03.01.04.02 Columns {5}</v>
      </c>
    </row>
  </sheetData>
  <sheetProtection sheet="1" objects="1" scenarios="1"/>
  <mergeCells count="9">
    <mergeCell ref="D40:E41"/>
    <mergeCell ref="D42:D43"/>
    <mergeCell ref="E42:E43"/>
    <mergeCell ref="B2:O2"/>
    <mergeCell ref="B5:L5"/>
    <mergeCell ref="D9:E10"/>
    <mergeCell ref="D11:D12"/>
    <mergeCell ref="E11:E12"/>
    <mergeCell ref="B36:L36"/>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2D941-660C-4906-BD39-89B319B09F42}">
  <sheetPr codeName="Blad44"/>
  <dimension ref="B2:R15"/>
  <sheetViews>
    <sheetView showGridLines="0" workbookViewId="0"/>
  </sheetViews>
  <sheetFormatPr defaultRowHeight="15"/>
  <cols>
    <col min="2" max="2" width="17.5703125" bestFit="1" customWidth="1"/>
    <col min="3" max="7" width="40.7109375" customWidth="1"/>
    <col min="8" max="8" width="15.7109375" customWidth="1"/>
    <col min="9" max="9" width="40.7109375" customWidth="1"/>
  </cols>
  <sheetData>
    <row r="2" spans="2:18" ht="23.25">
      <c r="B2" s="86" t="s">
        <v>566</v>
      </c>
      <c r="C2" s="87"/>
      <c r="D2" s="87"/>
      <c r="E2" s="87"/>
      <c r="F2" s="87"/>
      <c r="G2" s="87"/>
      <c r="H2" s="87"/>
      <c r="I2" s="87"/>
      <c r="J2" s="87"/>
      <c r="K2" s="87"/>
      <c r="L2" s="87"/>
      <c r="M2" s="87"/>
      <c r="N2" s="87"/>
      <c r="O2" s="87"/>
    </row>
    <row r="5" spans="2:18" ht="18.75">
      <c r="B5" s="88" t="s">
        <v>3410</v>
      </c>
      <c r="C5" s="87"/>
      <c r="D5" s="87"/>
      <c r="E5" s="87"/>
      <c r="F5" s="87"/>
      <c r="G5" s="87"/>
      <c r="H5" s="87"/>
      <c r="I5" s="87"/>
      <c r="J5" s="87"/>
      <c r="K5" s="87"/>
      <c r="L5" s="87"/>
    </row>
    <row r="9" spans="2:18">
      <c r="B9" s="89" t="s">
        <v>3411</v>
      </c>
      <c r="C9" s="92" t="s">
        <v>2877</v>
      </c>
      <c r="D9" s="93"/>
      <c r="E9" s="93"/>
      <c r="F9" s="93"/>
      <c r="G9" s="93"/>
      <c r="H9" s="93"/>
      <c r="I9" s="94"/>
    </row>
    <row r="10" spans="2:18">
      <c r="B10" s="90"/>
      <c r="C10" s="95"/>
      <c r="D10" s="96"/>
      <c r="E10" s="96"/>
      <c r="F10" s="96"/>
      <c r="G10" s="96"/>
      <c r="H10" s="96"/>
      <c r="I10" s="97"/>
    </row>
    <row r="11" spans="2:18" ht="30">
      <c r="B11" s="91"/>
      <c r="C11" s="55" t="s">
        <v>3412</v>
      </c>
      <c r="D11" s="55" t="s">
        <v>3413</v>
      </c>
      <c r="E11" s="55" t="s">
        <v>3414</v>
      </c>
      <c r="F11" s="55" t="s">
        <v>3415</v>
      </c>
      <c r="G11" s="55" t="s">
        <v>3416</v>
      </c>
      <c r="H11" s="55" t="s">
        <v>3417</v>
      </c>
      <c r="I11" s="55" t="s">
        <v>3418</v>
      </c>
    </row>
    <row r="12" spans="2:18">
      <c r="B12" s="42" t="s">
        <v>2879</v>
      </c>
      <c r="C12" s="42" t="s">
        <v>3219</v>
      </c>
      <c r="D12" s="42" t="s">
        <v>3225</v>
      </c>
      <c r="E12" s="42" t="s">
        <v>3229</v>
      </c>
      <c r="F12" s="42" t="s">
        <v>3231</v>
      </c>
      <c r="G12" s="42" t="s">
        <v>3233</v>
      </c>
      <c r="H12" s="42" t="s">
        <v>3234</v>
      </c>
      <c r="I12" s="42" t="s">
        <v>3236</v>
      </c>
      <c r="Q12" s="13" t="str">
        <f>Show!$B$40&amp;"S.03.02.01.01 Rows {"&amp;COLUMN($B$1)&amp;"}"&amp;"@ForceFilingCode:true"</f>
        <v>!S.03.02.01.01 Rows {2}@ForceFilingCode:true</v>
      </c>
      <c r="R12" s="13" t="str">
        <f>Show!$B$40&amp;"S.03.02.01.01 Columns {"&amp;COLUMN($B$1)&amp;"}"</f>
        <v>!S.03.02.01.01 Columns {2}</v>
      </c>
    </row>
    <row r="13" spans="2:18">
      <c r="B13" s="50"/>
      <c r="C13" s="51"/>
      <c r="D13" s="51"/>
      <c r="E13" s="51"/>
      <c r="F13" s="51"/>
      <c r="G13" s="51"/>
      <c r="H13" s="54"/>
      <c r="I13" s="51"/>
    </row>
    <row r="15" spans="2:18">
      <c r="Q15" s="13" t="str">
        <f>Show!$B$40&amp;Show!$B$40&amp;"S.03.02.01.01 Rows {"&amp;COLUMN($B$1)&amp;"}"</f>
        <v>!!S.03.02.01.01 Rows {2}</v>
      </c>
      <c r="R15" s="13" t="str">
        <f>Show!$B$40&amp;Show!$B$40&amp;"S.03.02.01.01 Columns {"&amp;COLUMN($I$1)&amp;"}"</f>
        <v>!!S.03.02.01.01 Columns {9}</v>
      </c>
    </row>
  </sheetData>
  <sheetProtection sheet="1" objects="1" scenarios="1"/>
  <mergeCells count="4">
    <mergeCell ref="B2:O2"/>
    <mergeCell ref="B5:L5"/>
    <mergeCell ref="B9:B11"/>
    <mergeCell ref="C9:I10"/>
  </mergeCells>
  <dataValidations count="4">
    <dataValidation type="list" errorStyle="warning" allowBlank="1" showInputMessage="1" showErrorMessage="1" sqref="E13" xr:uid="{12ACD628-D9DA-4062-A118-1EE50054C5AE}">
      <formula1>hier_CS_11</formula1>
    </dataValidation>
    <dataValidation type="list" errorStyle="warning" allowBlank="1" showInputMessage="1" showErrorMessage="1" sqref="F13" xr:uid="{EB1D4427-CB46-4E85-800D-B8A2EDEBADFB}">
      <formula1>hier_LT_1</formula1>
    </dataValidation>
    <dataValidation type="date" operator="greaterThan" allowBlank="1" showInputMessage="1" showErrorMessage="1" errorTitle="Date value" error="This cell can only contain dates" sqref="H13" xr:uid="{67D99253-6C94-4931-8AB8-CEDEFA8453AE}">
      <formula1>1</formula1>
    </dataValidation>
    <dataValidation type="list" errorStyle="warning" allowBlank="1" showInputMessage="1" showErrorMessage="1" sqref="I13" xr:uid="{36926CC6-14CA-4623-9490-8853AE9AF549}">
      <formula1>hier_EL_7</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A3773-9D07-4864-8758-FCDD8641D7E0}">
  <sheetPr codeName="Blad45"/>
  <dimension ref="B2:Q15"/>
  <sheetViews>
    <sheetView showGridLines="0" workbookViewId="0"/>
  </sheetViews>
  <sheetFormatPr defaultRowHeight="15"/>
  <cols>
    <col min="2" max="2" width="17.5703125" bestFit="1" customWidth="1"/>
    <col min="3" max="6" width="40.7109375" customWidth="1"/>
    <col min="7" max="7" width="15.7109375" customWidth="1"/>
    <col min="8" max="8" width="40.7109375" customWidth="1"/>
  </cols>
  <sheetData>
    <row r="2" spans="2:17" ht="23.25">
      <c r="B2" s="86" t="s">
        <v>568</v>
      </c>
      <c r="C2" s="87"/>
      <c r="D2" s="87"/>
      <c r="E2" s="87"/>
      <c r="F2" s="87"/>
      <c r="G2" s="87"/>
      <c r="H2" s="87"/>
      <c r="I2" s="87"/>
      <c r="J2" s="87"/>
      <c r="K2" s="87"/>
      <c r="L2" s="87"/>
      <c r="M2" s="87"/>
      <c r="N2" s="87"/>
      <c r="O2" s="87"/>
    </row>
    <row r="5" spans="2:17" ht="18.75">
      <c r="B5" s="88" t="s">
        <v>3419</v>
      </c>
      <c r="C5" s="87"/>
      <c r="D5" s="87"/>
      <c r="E5" s="87"/>
      <c r="F5" s="87"/>
      <c r="G5" s="87"/>
      <c r="H5" s="87"/>
      <c r="I5" s="87"/>
      <c r="J5" s="87"/>
      <c r="K5" s="87"/>
      <c r="L5" s="87"/>
    </row>
    <row r="9" spans="2:17">
      <c r="B9" s="89" t="s">
        <v>3411</v>
      </c>
      <c r="C9" s="92" t="s">
        <v>2877</v>
      </c>
      <c r="D9" s="93"/>
      <c r="E9" s="93"/>
      <c r="F9" s="93"/>
      <c r="G9" s="93"/>
      <c r="H9" s="94"/>
    </row>
    <row r="10" spans="2:17">
      <c r="B10" s="90"/>
      <c r="C10" s="95"/>
      <c r="D10" s="96"/>
      <c r="E10" s="96"/>
      <c r="F10" s="96"/>
      <c r="G10" s="96"/>
      <c r="H10" s="97"/>
    </row>
    <row r="11" spans="2:17" ht="30">
      <c r="B11" s="91"/>
      <c r="C11" s="55" t="s">
        <v>3412</v>
      </c>
      <c r="D11" s="55" t="s">
        <v>3413</v>
      </c>
      <c r="E11" s="55" t="s">
        <v>3415</v>
      </c>
      <c r="F11" s="55" t="s">
        <v>3416</v>
      </c>
      <c r="G11" s="55" t="s">
        <v>3417</v>
      </c>
      <c r="H11" s="55" t="s">
        <v>3418</v>
      </c>
    </row>
    <row r="12" spans="2:17">
      <c r="B12" s="42" t="s">
        <v>2879</v>
      </c>
      <c r="C12" s="42" t="s">
        <v>3219</v>
      </c>
      <c r="D12" s="42" t="s">
        <v>3225</v>
      </c>
      <c r="E12" s="42" t="s">
        <v>3231</v>
      </c>
      <c r="F12" s="42" t="s">
        <v>3233</v>
      </c>
      <c r="G12" s="42" t="s">
        <v>3234</v>
      </c>
      <c r="H12" s="42" t="s">
        <v>3236</v>
      </c>
      <c r="P12" s="13" t="str">
        <f>Show!$B$41&amp;"S.03.02.04.01 Rows {"&amp;COLUMN($B$1)&amp;"}"&amp;"@ForceFilingCode:true"</f>
        <v>!S.03.02.04.01 Rows {2}@ForceFilingCode:true</v>
      </c>
      <c r="Q12" s="13" t="str">
        <f>Show!$B$41&amp;"S.03.02.04.01 Columns {"&amp;COLUMN($B$1)&amp;"}"</f>
        <v>!S.03.02.04.01 Columns {2}</v>
      </c>
    </row>
    <row r="13" spans="2:17">
      <c r="B13" s="50"/>
      <c r="C13" s="51"/>
      <c r="D13" s="51"/>
      <c r="E13" s="51"/>
      <c r="F13" s="51"/>
      <c r="G13" s="54"/>
      <c r="H13" s="51"/>
    </row>
    <row r="15" spans="2:17">
      <c r="P15" s="13" t="str">
        <f>Show!$B$41&amp;Show!$B$41&amp;"S.03.02.04.01 Rows {"&amp;COLUMN($B$1)&amp;"}"</f>
        <v>!!S.03.02.04.01 Rows {2}</v>
      </c>
      <c r="Q15" s="13" t="str">
        <f>Show!$B$41&amp;Show!$B$41&amp;"S.03.02.04.01 Columns {"&amp;COLUMN($H$1)&amp;"}"</f>
        <v>!!S.03.02.04.01 Columns {8}</v>
      </c>
    </row>
  </sheetData>
  <sheetProtection sheet="1" objects="1" scenarios="1"/>
  <mergeCells count="4">
    <mergeCell ref="B2:O2"/>
    <mergeCell ref="B5:L5"/>
    <mergeCell ref="B9:B11"/>
    <mergeCell ref="C9:H10"/>
  </mergeCells>
  <dataValidations count="3">
    <dataValidation type="list" errorStyle="warning" allowBlank="1" showInputMessage="1" showErrorMessage="1" sqref="E13" xr:uid="{B9917C2F-54FA-414B-9D05-5EBFF0333658}">
      <formula1>hier_LT_1</formula1>
    </dataValidation>
    <dataValidation type="date" operator="greaterThan" allowBlank="1" showInputMessage="1" showErrorMessage="1" errorTitle="Date value" error="This cell can only contain dates" sqref="G13" xr:uid="{FDD48DA7-BC1E-4836-95E6-2DE6EC9EA745}">
      <formula1>1</formula1>
    </dataValidation>
    <dataValidation type="list" errorStyle="warning" allowBlank="1" showInputMessage="1" showErrorMessage="1" sqref="H13" xr:uid="{BE5D4CAC-BE8E-4FF7-A2EB-5534A0F579F6}">
      <formula1>hier_EL_7</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5BF49-AF82-4BAE-A6DA-6B988BC72385}">
  <sheetPr codeName="Blad46"/>
  <dimension ref="B2:R15"/>
  <sheetViews>
    <sheetView showGridLines="0" workbookViewId="0"/>
  </sheetViews>
  <sheetFormatPr defaultRowHeight="15"/>
  <cols>
    <col min="2" max="2" width="17.5703125" bestFit="1" customWidth="1"/>
    <col min="3" max="6" width="40.7109375" customWidth="1"/>
    <col min="7" max="7" width="15.7109375" customWidth="1"/>
    <col min="8" max="8" width="40.7109375" customWidth="1"/>
    <col min="9" max="9" width="15.7109375" customWidth="1"/>
  </cols>
  <sheetData>
    <row r="2" spans="2:18" ht="23.25">
      <c r="B2" s="86" t="s">
        <v>570</v>
      </c>
      <c r="C2" s="87"/>
      <c r="D2" s="87"/>
      <c r="E2" s="87"/>
      <c r="F2" s="87"/>
      <c r="G2" s="87"/>
      <c r="H2" s="87"/>
      <c r="I2" s="87"/>
      <c r="J2" s="87"/>
      <c r="K2" s="87"/>
      <c r="L2" s="87"/>
      <c r="M2" s="87"/>
      <c r="N2" s="87"/>
      <c r="O2" s="87"/>
    </row>
    <row r="5" spans="2:18" ht="18.75">
      <c r="B5" s="88" t="s">
        <v>3420</v>
      </c>
      <c r="C5" s="87"/>
      <c r="D5" s="87"/>
      <c r="E5" s="87"/>
      <c r="F5" s="87"/>
      <c r="G5" s="87"/>
      <c r="H5" s="87"/>
      <c r="I5" s="87"/>
      <c r="J5" s="87"/>
      <c r="K5" s="87"/>
      <c r="L5" s="87"/>
    </row>
    <row r="9" spans="2:18">
      <c r="B9" s="89" t="s">
        <v>3411</v>
      </c>
      <c r="C9" s="92" t="s">
        <v>2877</v>
      </c>
      <c r="D9" s="93"/>
      <c r="E9" s="93"/>
      <c r="F9" s="93"/>
      <c r="G9" s="93"/>
      <c r="H9" s="93"/>
      <c r="I9" s="94"/>
    </row>
    <row r="10" spans="2:18">
      <c r="B10" s="90"/>
      <c r="C10" s="95"/>
      <c r="D10" s="96"/>
      <c r="E10" s="96"/>
      <c r="F10" s="96"/>
      <c r="G10" s="96"/>
      <c r="H10" s="96"/>
      <c r="I10" s="97"/>
    </row>
    <row r="11" spans="2:18" ht="60">
      <c r="B11" s="91"/>
      <c r="C11" s="55" t="s">
        <v>3421</v>
      </c>
      <c r="D11" s="55" t="s">
        <v>3422</v>
      </c>
      <c r="E11" s="55" t="s">
        <v>3423</v>
      </c>
      <c r="F11" s="55" t="s">
        <v>3415</v>
      </c>
      <c r="G11" s="55" t="s">
        <v>3424</v>
      </c>
      <c r="H11" s="55" t="s">
        <v>3416</v>
      </c>
      <c r="I11" s="55" t="s">
        <v>3417</v>
      </c>
    </row>
    <row r="12" spans="2:18">
      <c r="B12" s="42" t="s">
        <v>2879</v>
      </c>
      <c r="C12" s="42" t="s">
        <v>3219</v>
      </c>
      <c r="D12" s="42" t="s">
        <v>3225</v>
      </c>
      <c r="E12" s="42" t="s">
        <v>3229</v>
      </c>
      <c r="F12" s="42" t="s">
        <v>3231</v>
      </c>
      <c r="G12" s="42" t="s">
        <v>3233</v>
      </c>
      <c r="H12" s="42" t="s">
        <v>3234</v>
      </c>
      <c r="I12" s="42" t="s">
        <v>3236</v>
      </c>
      <c r="Q12" s="13" t="str">
        <f>Show!$B$42&amp;"S.03.03.01.01 Rows {"&amp;COLUMN($B$1)&amp;"}"&amp;"@ForceFilingCode:true"</f>
        <v>!S.03.03.01.01 Rows {2}@ForceFilingCode:true</v>
      </c>
      <c r="R12" s="13" t="str">
        <f>Show!$B$42&amp;"S.03.03.01.01 Columns {"&amp;COLUMN($B$1)&amp;"}"</f>
        <v>!S.03.03.01.01 Columns {2}</v>
      </c>
    </row>
    <row r="13" spans="2:18">
      <c r="B13" s="50"/>
      <c r="C13" s="51"/>
      <c r="D13" s="51"/>
      <c r="E13" s="51"/>
      <c r="F13" s="51"/>
      <c r="G13" s="60"/>
      <c r="H13" s="51"/>
      <c r="I13" s="54"/>
    </row>
    <row r="15" spans="2:18">
      <c r="Q15" s="13" t="str">
        <f>Show!$B$42&amp;Show!$B$42&amp;"S.03.03.01.01 Rows {"&amp;COLUMN($B$1)&amp;"}"</f>
        <v>!!S.03.03.01.01 Rows {2}</v>
      </c>
      <c r="R15" s="13" t="str">
        <f>Show!$B$42&amp;Show!$B$42&amp;"S.03.03.01.01 Columns {"&amp;COLUMN($I$1)&amp;"}"</f>
        <v>!!S.03.03.01.01 Columns {9}</v>
      </c>
    </row>
  </sheetData>
  <sheetProtection sheet="1" objects="1" scenarios="1"/>
  <mergeCells count="4">
    <mergeCell ref="B2:O2"/>
    <mergeCell ref="B5:L5"/>
    <mergeCell ref="B9:B11"/>
    <mergeCell ref="C9:I10"/>
  </mergeCells>
  <dataValidations count="3">
    <dataValidation type="list" errorStyle="warning" allowBlank="1" showInputMessage="1" showErrorMessage="1" sqref="E13" xr:uid="{1BBD1FCA-1D9D-48A5-9E4B-E40CAB4F8D13}">
      <formula1>hier_CS_11</formula1>
    </dataValidation>
    <dataValidation type="list" errorStyle="warning" allowBlank="1" showInputMessage="1" showErrorMessage="1" sqref="F13" xr:uid="{2A0C4908-F74D-4DC3-964D-8490D42CEFF8}">
      <formula1>hier_LT_1</formula1>
    </dataValidation>
    <dataValidation type="date" operator="greaterThan" allowBlank="1" showInputMessage="1" showErrorMessage="1" errorTitle="Date value" error="This cell can only contain dates" sqref="I13" xr:uid="{E9035A69-F1E7-405D-BFDF-0E5E237F74F9}">
      <formula1>1</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21126-D093-42D2-8989-3E18487D369D}">
  <sheetPr codeName="Blad47"/>
  <dimension ref="B2:Q15"/>
  <sheetViews>
    <sheetView showGridLines="0" workbookViewId="0"/>
  </sheetViews>
  <sheetFormatPr defaultRowHeight="15"/>
  <cols>
    <col min="2" max="2" width="17.5703125" bestFit="1" customWidth="1"/>
    <col min="3" max="5" width="40.7109375" customWidth="1"/>
    <col min="6" max="6" width="15.7109375" customWidth="1"/>
    <col min="7" max="7" width="40.7109375" customWidth="1"/>
    <col min="8" max="8" width="15.7109375" customWidth="1"/>
  </cols>
  <sheetData>
    <row r="2" spans="2:17" ht="23.25">
      <c r="B2" s="86" t="s">
        <v>572</v>
      </c>
      <c r="C2" s="87"/>
      <c r="D2" s="87"/>
      <c r="E2" s="87"/>
      <c r="F2" s="87"/>
      <c r="G2" s="87"/>
      <c r="H2" s="87"/>
      <c r="I2" s="87"/>
      <c r="J2" s="87"/>
      <c r="K2" s="87"/>
      <c r="L2" s="87"/>
      <c r="M2" s="87"/>
      <c r="N2" s="87"/>
      <c r="O2" s="87"/>
    </row>
    <row r="5" spans="2:17" ht="18.75">
      <c r="B5" s="88" t="s">
        <v>3425</v>
      </c>
      <c r="C5" s="87"/>
      <c r="D5" s="87"/>
      <c r="E5" s="87"/>
      <c r="F5" s="87"/>
      <c r="G5" s="87"/>
      <c r="H5" s="87"/>
      <c r="I5" s="87"/>
      <c r="J5" s="87"/>
      <c r="K5" s="87"/>
      <c r="L5" s="87"/>
    </row>
    <row r="9" spans="2:17">
      <c r="B9" s="89" t="s">
        <v>3411</v>
      </c>
      <c r="C9" s="92" t="s">
        <v>2877</v>
      </c>
      <c r="D9" s="93"/>
      <c r="E9" s="93"/>
      <c r="F9" s="93"/>
      <c r="G9" s="93"/>
      <c r="H9" s="94"/>
    </row>
    <row r="10" spans="2:17">
      <c r="B10" s="90"/>
      <c r="C10" s="95"/>
      <c r="D10" s="96"/>
      <c r="E10" s="96"/>
      <c r="F10" s="96"/>
      <c r="G10" s="96"/>
      <c r="H10" s="97"/>
    </row>
    <row r="11" spans="2:17" ht="60">
      <c r="B11" s="91"/>
      <c r="C11" s="55" t="s">
        <v>3421</v>
      </c>
      <c r="D11" s="55" t="s">
        <v>3422</v>
      </c>
      <c r="E11" s="55" t="s">
        <v>3415</v>
      </c>
      <c r="F11" s="55" t="s">
        <v>3424</v>
      </c>
      <c r="G11" s="55" t="s">
        <v>3416</v>
      </c>
      <c r="H11" s="55" t="s">
        <v>3417</v>
      </c>
    </row>
    <row r="12" spans="2:17">
      <c r="B12" s="42" t="s">
        <v>2879</v>
      </c>
      <c r="C12" s="42" t="s">
        <v>3219</v>
      </c>
      <c r="D12" s="42" t="s">
        <v>3225</v>
      </c>
      <c r="E12" s="42" t="s">
        <v>3231</v>
      </c>
      <c r="F12" s="42" t="s">
        <v>3233</v>
      </c>
      <c r="G12" s="42" t="s">
        <v>3234</v>
      </c>
      <c r="H12" s="42" t="s">
        <v>3236</v>
      </c>
      <c r="P12" s="13" t="str">
        <f>Show!$B$43&amp;"S.03.03.04.01 Rows {"&amp;COLUMN($B$1)&amp;"}"&amp;"@ForceFilingCode:true"</f>
        <v>!S.03.03.04.01 Rows {2}@ForceFilingCode:true</v>
      </c>
      <c r="Q12" s="13" t="str">
        <f>Show!$B$43&amp;"S.03.03.04.01 Columns {"&amp;COLUMN($B$1)&amp;"}"</f>
        <v>!S.03.03.04.01 Columns {2}</v>
      </c>
    </row>
    <row r="13" spans="2:17">
      <c r="B13" s="50"/>
      <c r="C13" s="51"/>
      <c r="D13" s="51"/>
      <c r="E13" s="51"/>
      <c r="F13" s="60"/>
      <c r="G13" s="51"/>
      <c r="H13" s="54"/>
    </row>
    <row r="15" spans="2:17">
      <c r="P15" s="13" t="str">
        <f>Show!$B$43&amp;Show!$B$43&amp;"S.03.03.04.01 Rows {"&amp;COLUMN($B$1)&amp;"}"</f>
        <v>!!S.03.03.04.01 Rows {2}</v>
      </c>
      <c r="Q15" s="13" t="str">
        <f>Show!$B$43&amp;Show!$B$43&amp;"S.03.03.04.01 Columns {"&amp;COLUMN($H$1)&amp;"}"</f>
        <v>!!S.03.03.04.01 Columns {8}</v>
      </c>
    </row>
  </sheetData>
  <sheetProtection sheet="1" objects="1" scenarios="1"/>
  <mergeCells count="4">
    <mergeCell ref="B2:O2"/>
    <mergeCell ref="B5:L5"/>
    <mergeCell ref="B9:B11"/>
    <mergeCell ref="C9:H10"/>
  </mergeCells>
  <dataValidations count="2">
    <dataValidation type="list" errorStyle="warning" allowBlank="1" showInputMessage="1" showErrorMessage="1" sqref="E13" xr:uid="{D5717F79-445A-4519-A006-DCBB26BD8EB2}">
      <formula1>hier_LT_1</formula1>
    </dataValidation>
    <dataValidation type="date" operator="greaterThan" allowBlank="1" showInputMessage="1" showErrorMessage="1" errorTitle="Date value" error="This cell can only contain dates" sqref="H13" xr:uid="{CA3B23E8-4B0B-4A78-B15E-16F660145334}">
      <formula1>1</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C268F-C75F-4639-BE78-2B7A78045CE7}">
  <sheetPr codeName="Blad48"/>
  <dimension ref="B2:R82"/>
  <sheetViews>
    <sheetView showGridLines="0" workbookViewId="0"/>
  </sheetViews>
  <sheetFormatPr defaultRowHeight="15"/>
  <cols>
    <col min="2" max="2" width="19.85546875" bestFit="1" customWidth="1"/>
    <col min="4" max="10" width="15.7109375" customWidth="1"/>
  </cols>
  <sheetData>
    <row r="2" spans="2:18" ht="23.25">
      <c r="B2" s="86" t="s">
        <v>574</v>
      </c>
      <c r="C2" s="87"/>
      <c r="D2" s="87"/>
      <c r="E2" s="87"/>
      <c r="F2" s="87"/>
      <c r="G2" s="87"/>
      <c r="H2" s="87"/>
      <c r="I2" s="87"/>
      <c r="J2" s="87"/>
      <c r="K2" s="87"/>
      <c r="L2" s="87"/>
      <c r="M2" s="87"/>
      <c r="N2" s="87"/>
      <c r="O2" s="87"/>
    </row>
    <row r="5" spans="2:18" ht="18.75">
      <c r="B5" s="88" t="s">
        <v>3426</v>
      </c>
      <c r="C5" s="87"/>
      <c r="D5" s="87"/>
      <c r="E5" s="87"/>
      <c r="F5" s="87"/>
      <c r="G5" s="87"/>
      <c r="H5" s="87"/>
      <c r="I5" s="87"/>
      <c r="J5" s="87"/>
      <c r="K5" s="87"/>
      <c r="L5" s="87"/>
    </row>
    <row r="7" spans="2:18">
      <c r="B7" t="s">
        <v>3110</v>
      </c>
      <c r="Q7" s="13" t="str">
        <f>Show!$B$44&amp;"S.04.01.01.01 Table label {"&amp;COLUMN($C$1)&amp;"}"</f>
        <v>!S.04.01.01.01 Table label {3}</v>
      </c>
      <c r="R7" s="13" t="str">
        <f>Show!$B$44&amp;"S.04.01.01.01 Table value {"&amp;COLUMN($D$1)&amp;"}"</f>
        <v>!S.04.01.01.01 Table value {4}</v>
      </c>
    </row>
    <row r="8" spans="2:18">
      <c r="B8" t="s">
        <v>3111</v>
      </c>
    </row>
    <row r="9" spans="2:18">
      <c r="B9" s="40" t="s">
        <v>3427</v>
      </c>
      <c r="C9" s="53" t="s">
        <v>3113</v>
      </c>
      <c r="D9" s="51"/>
    </row>
    <row r="10" spans="2:18">
      <c r="Q10" s="13" t="str">
        <f>Show!$B$44&amp;Show!$B$44&amp;"S.04.01.01.01 Table label {"&amp;COLUMN($C$1)&amp;"}"</f>
        <v>!!S.04.01.01.01 Table label {3}</v>
      </c>
      <c r="R10" s="13" t="str">
        <f>Show!$B$44&amp;Show!$B$44&amp;"S.04.01.01.01 Table value {"&amp;COLUMN($D$1)&amp;"}"</f>
        <v>!!S.04.01.01.01 Table value {4}</v>
      </c>
    </row>
    <row r="12" spans="2:18">
      <c r="D12" s="92" t="s">
        <v>2877</v>
      </c>
      <c r="E12" s="93"/>
      <c r="F12" s="93"/>
      <c r="G12" s="93"/>
      <c r="H12" s="93"/>
      <c r="I12" s="93"/>
      <c r="J12" s="94"/>
    </row>
    <row r="13" spans="2:18">
      <c r="D13" s="95"/>
      <c r="E13" s="96"/>
      <c r="F13" s="96"/>
      <c r="G13" s="96"/>
      <c r="H13" s="96"/>
      <c r="I13" s="96"/>
      <c r="J13" s="97"/>
    </row>
    <row r="14" spans="2:18">
      <c r="D14" s="98" t="s">
        <v>3428</v>
      </c>
      <c r="E14" s="100"/>
      <c r="F14" s="99"/>
      <c r="G14" s="98" t="s">
        <v>3432</v>
      </c>
      <c r="H14" s="100"/>
      <c r="I14" s="99"/>
      <c r="J14" s="89" t="s">
        <v>3436</v>
      </c>
    </row>
    <row r="15" spans="2:18" ht="135">
      <c r="D15" s="55" t="s">
        <v>3429</v>
      </c>
      <c r="E15" s="55" t="s">
        <v>3430</v>
      </c>
      <c r="F15" s="55" t="s">
        <v>3431</v>
      </c>
      <c r="G15" s="55" t="s">
        <v>3433</v>
      </c>
      <c r="H15" s="55" t="s">
        <v>3434</v>
      </c>
      <c r="I15" s="55" t="s">
        <v>3435</v>
      </c>
      <c r="J15" s="91"/>
    </row>
    <row r="16" spans="2:18">
      <c r="D16" s="45" t="s">
        <v>2879</v>
      </c>
      <c r="E16" s="45" t="s">
        <v>3219</v>
      </c>
      <c r="F16" s="45" t="s">
        <v>3225</v>
      </c>
      <c r="G16" s="45" t="s">
        <v>3223</v>
      </c>
      <c r="H16" s="45" t="s">
        <v>3229</v>
      </c>
      <c r="I16" s="45" t="s">
        <v>3231</v>
      </c>
      <c r="J16" s="45" t="s">
        <v>3233</v>
      </c>
      <c r="Q16" s="13" t="str">
        <f>Show!$B$44&amp;"S.04.01.01.01 Rows {"&amp;COLUMN($C$1)&amp;"}"&amp;"@ForceFilingCode:true"</f>
        <v>!S.04.01.01.01 Rows {3}@ForceFilingCode:true</v>
      </c>
      <c r="R16" s="13" t="str">
        <f>Show!$B$44&amp;"S.04.01.01.01 Columns {"&amp;COLUMN($D$1)&amp;"}"</f>
        <v>!S.04.01.01.01 Columns {4}</v>
      </c>
    </row>
    <row r="17" spans="2:18">
      <c r="B17" s="43" t="s">
        <v>2880</v>
      </c>
      <c r="C17" s="44" t="s">
        <v>2878</v>
      </c>
      <c r="D17" s="56"/>
      <c r="E17" s="66"/>
      <c r="F17" s="66"/>
      <c r="G17" s="66"/>
      <c r="H17" s="66"/>
      <c r="I17" s="66"/>
      <c r="J17" s="57"/>
    </row>
    <row r="18" spans="2:18">
      <c r="B18" s="47" t="s">
        <v>3437</v>
      </c>
      <c r="C18" s="41" t="s">
        <v>2885</v>
      </c>
      <c r="D18" s="60"/>
      <c r="E18" s="60"/>
      <c r="F18" s="63"/>
      <c r="G18" s="60"/>
      <c r="H18" s="60"/>
      <c r="I18" s="63"/>
      <c r="J18" s="60"/>
    </row>
    <row r="19" spans="2:18">
      <c r="B19" s="47" t="s">
        <v>3438</v>
      </c>
      <c r="C19" s="41" t="s">
        <v>2887</v>
      </c>
      <c r="D19" s="60"/>
      <c r="E19" s="64"/>
      <c r="F19" s="48"/>
      <c r="G19" s="60"/>
      <c r="H19" s="64"/>
      <c r="I19" s="48"/>
      <c r="J19" s="60"/>
    </row>
    <row r="20" spans="2:18">
      <c r="B20" s="47" t="s">
        <v>3439</v>
      </c>
      <c r="C20" s="41" t="s">
        <v>2889</v>
      </c>
      <c r="D20" s="60"/>
      <c r="E20" s="64"/>
      <c r="F20" s="46"/>
      <c r="G20" s="60"/>
      <c r="H20" s="64"/>
      <c r="I20" s="46"/>
      <c r="J20" s="60"/>
    </row>
    <row r="22" spans="2:18">
      <c r="Q22" s="13" t="str">
        <f>Show!$B$44&amp;Show!$B$44&amp;"S.04.01.01.01 Rows {"&amp;COLUMN($C$1)&amp;"}"</f>
        <v>!!S.04.01.01.01 Rows {3}</v>
      </c>
      <c r="R22" s="13" t="str">
        <f>Show!$B$44&amp;Show!$B$44&amp;"S.04.01.01.01 Columns {"&amp;COLUMN($J$1)&amp;"}"</f>
        <v>!!S.04.01.01.01 Columns {10}</v>
      </c>
    </row>
    <row r="24" spans="2:18" ht="18.75">
      <c r="B24" s="88" t="s">
        <v>3440</v>
      </c>
      <c r="C24" s="87"/>
      <c r="D24" s="87"/>
      <c r="E24" s="87"/>
      <c r="F24" s="87"/>
      <c r="G24" s="87"/>
      <c r="H24" s="87"/>
      <c r="I24" s="87"/>
      <c r="J24" s="87"/>
      <c r="K24" s="87"/>
      <c r="L24" s="87"/>
    </row>
    <row r="26" spans="2:18">
      <c r="B26" t="s">
        <v>3110</v>
      </c>
      <c r="Q26" s="13" t="str">
        <f>Show!$B$44&amp;"S.04.01.01.02 Table label {"&amp;COLUMN($C$1)&amp;"}"</f>
        <v>!S.04.01.01.02 Table label {3}</v>
      </c>
      <c r="R26" s="13" t="str">
        <f>Show!$B$44&amp;"S.04.01.01.02 Table value {"&amp;COLUMN($D$1)&amp;"}"</f>
        <v>!S.04.01.01.02 Table value {4}</v>
      </c>
    </row>
    <row r="27" spans="2:18">
      <c r="B27" t="s">
        <v>3111</v>
      </c>
    </row>
    <row r="28" spans="2:18">
      <c r="B28" s="40" t="s">
        <v>3427</v>
      </c>
      <c r="C28" s="53" t="s">
        <v>3113</v>
      </c>
      <c r="D28" s="51"/>
    </row>
    <row r="29" spans="2:18">
      <c r="Q29" s="13" t="str">
        <f>Show!$B$44&amp;Show!$B$44&amp;"S.04.01.01.02 Table label {"&amp;COLUMN($C$1)&amp;"}"</f>
        <v>!!S.04.01.01.02 Table label {3}</v>
      </c>
      <c r="R29" s="13" t="str">
        <f>Show!$B$44&amp;Show!$B$44&amp;"S.04.01.01.02 Table value {"&amp;COLUMN($D$1)&amp;"}"</f>
        <v>!!S.04.01.01.02 Table value {4}</v>
      </c>
    </row>
    <row r="31" spans="2:18">
      <c r="D31" s="92" t="s">
        <v>2877</v>
      </c>
      <c r="E31" s="94"/>
    </row>
    <row r="32" spans="2:18">
      <c r="D32" s="95"/>
      <c r="E32" s="97"/>
    </row>
    <row r="33" spans="2:18">
      <c r="D33" s="98" t="s">
        <v>3441</v>
      </c>
      <c r="E33" s="99"/>
    </row>
    <row r="34" spans="2:18" ht="105">
      <c r="D34" s="55" t="s">
        <v>3442</v>
      </c>
      <c r="E34" s="55" t="s">
        <v>3443</v>
      </c>
    </row>
    <row r="35" spans="2:18">
      <c r="D35" s="42" t="s">
        <v>3234</v>
      </c>
      <c r="E35" s="42" t="s">
        <v>3236</v>
      </c>
      <c r="Q35" s="13" t="str">
        <f>Show!$B$44&amp;"S.04.01.01.02 Rows {"&amp;COLUMN($C$1)&amp;"}"&amp;"@ForceFilingCode:true"</f>
        <v>!S.04.01.01.02 Rows {3}@ForceFilingCode:true</v>
      </c>
      <c r="R35" s="13" t="str">
        <f>Show!$B$44&amp;"S.04.01.01.02 Columns {"&amp;COLUMN($D$1)&amp;"}"</f>
        <v>!S.04.01.01.02 Columns {4}</v>
      </c>
    </row>
    <row r="36" spans="2:18">
      <c r="B36" s="43" t="s">
        <v>3444</v>
      </c>
      <c r="C36" s="41" t="s">
        <v>2883</v>
      </c>
      <c r="D36" s="68"/>
      <c r="E36" s="68"/>
    </row>
    <row r="37" spans="2:18">
      <c r="B37" s="43" t="s">
        <v>2880</v>
      </c>
      <c r="C37" s="44" t="s">
        <v>2878</v>
      </c>
      <c r="D37" s="56"/>
      <c r="E37" s="57"/>
    </row>
    <row r="38" spans="2:18">
      <c r="B38" s="47" t="s">
        <v>3437</v>
      </c>
      <c r="C38" s="41" t="s">
        <v>2885</v>
      </c>
      <c r="D38" s="60"/>
      <c r="E38" s="60"/>
    </row>
    <row r="39" spans="2:18">
      <c r="B39" s="47" t="s">
        <v>3438</v>
      </c>
      <c r="C39" s="41" t="s">
        <v>2887</v>
      </c>
      <c r="D39" s="60"/>
      <c r="E39" s="60"/>
    </row>
    <row r="40" spans="2:18">
      <c r="B40" s="47" t="s">
        <v>3439</v>
      </c>
      <c r="C40" s="41" t="s">
        <v>2889</v>
      </c>
      <c r="D40" s="60"/>
      <c r="E40" s="60"/>
    </row>
    <row r="42" spans="2:18">
      <c r="Q42" s="13" t="str">
        <f>Show!$B$44&amp;Show!$B$44&amp;"S.04.01.01.02 Rows {"&amp;COLUMN($C$1)&amp;"}"</f>
        <v>!!S.04.01.01.02 Rows {3}</v>
      </c>
      <c r="R42" s="13" t="str">
        <f>Show!$B$44&amp;Show!$B$44&amp;"S.04.01.01.02 Columns {"&amp;COLUMN($E$1)&amp;"}"</f>
        <v>!!S.04.01.01.02 Columns {5}</v>
      </c>
    </row>
    <row r="44" spans="2:18" ht="18.75">
      <c r="B44" s="88" t="s">
        <v>3445</v>
      </c>
      <c r="C44" s="87"/>
      <c r="D44" s="87"/>
      <c r="E44" s="87"/>
      <c r="F44" s="87"/>
      <c r="G44" s="87"/>
      <c r="H44" s="87"/>
      <c r="I44" s="87"/>
      <c r="J44" s="87"/>
      <c r="K44" s="87"/>
      <c r="L44" s="87"/>
    </row>
    <row r="46" spans="2:18">
      <c r="B46" t="s">
        <v>3110</v>
      </c>
      <c r="Q46" s="13" t="str">
        <f>Show!$B$44&amp;"S.04.01.01.03 Table label {"&amp;COLUMN($C$1)&amp;"}"</f>
        <v>!S.04.01.01.03 Table label {3}</v>
      </c>
      <c r="R46" s="13" t="str">
        <f>Show!$B$44&amp;"S.04.01.01.03 Table value {"&amp;COLUMN($D$1)&amp;"}"</f>
        <v>!S.04.01.01.03 Table value {4}</v>
      </c>
    </row>
    <row r="47" spans="2:18">
      <c r="B47" t="s">
        <v>3111</v>
      </c>
    </row>
    <row r="48" spans="2:18">
      <c r="B48" s="40" t="s">
        <v>3427</v>
      </c>
      <c r="C48" s="53" t="s">
        <v>3113</v>
      </c>
      <c r="D48" s="51"/>
    </row>
    <row r="49" spans="2:18">
      <c r="Q49" s="13" t="str">
        <f>Show!$B$44&amp;Show!$B$44&amp;"S.04.01.01.03 Table label {"&amp;COLUMN($C$1)&amp;"}"</f>
        <v>!!S.04.01.01.03 Table label {3}</v>
      </c>
      <c r="R49" s="13" t="str">
        <f>Show!$B$44&amp;Show!$B$44&amp;"S.04.01.01.03 Table value {"&amp;COLUMN($D$1)&amp;"}"</f>
        <v>!!S.04.01.01.03 Table value {4}</v>
      </c>
    </row>
    <row r="51" spans="2:18">
      <c r="D51" s="89" t="s">
        <v>2877</v>
      </c>
    </row>
    <row r="52" spans="2:18">
      <c r="D52" s="91"/>
    </row>
    <row r="53" spans="2:18">
      <c r="D53" s="55" t="s">
        <v>3441</v>
      </c>
    </row>
    <row r="54" spans="2:18" ht="105">
      <c r="D54" s="55" t="s">
        <v>3446</v>
      </c>
    </row>
    <row r="55" spans="2:18">
      <c r="D55" s="42" t="s">
        <v>3239</v>
      </c>
      <c r="Q55" s="13" t="str">
        <f>Show!$B$44&amp;"S.04.01.01.03 Rows {"&amp;COLUMN($C$1)&amp;"}"&amp;"@ForceFilingCode:true"</f>
        <v>!S.04.01.01.03 Rows {3}@ForceFilingCode:true</v>
      </c>
      <c r="R55" s="13" t="str">
        <f>Show!$B$44&amp;"S.04.01.01.03 Columns {"&amp;COLUMN($D$1)&amp;"}"</f>
        <v>!S.04.01.01.03 Columns {4}</v>
      </c>
    </row>
    <row r="56" spans="2:18">
      <c r="B56" s="43" t="s">
        <v>3444</v>
      </c>
      <c r="C56" s="41" t="s">
        <v>2883</v>
      </c>
      <c r="D56" s="68"/>
    </row>
    <row r="57" spans="2:18">
      <c r="B57" s="43" t="s">
        <v>2880</v>
      </c>
      <c r="C57" s="44" t="s">
        <v>2878</v>
      </c>
      <c r="D57" s="46"/>
    </row>
    <row r="58" spans="2:18">
      <c r="B58" s="47" t="s">
        <v>3437</v>
      </c>
      <c r="C58" s="41" t="s">
        <v>2885</v>
      </c>
      <c r="D58" s="63"/>
    </row>
    <row r="59" spans="2:18">
      <c r="B59" s="47" t="s">
        <v>3438</v>
      </c>
      <c r="C59" s="44" t="s">
        <v>2887</v>
      </c>
      <c r="D59" s="48"/>
    </row>
    <row r="60" spans="2:18">
      <c r="B60" s="47" t="s">
        <v>3439</v>
      </c>
      <c r="C60" s="44" t="s">
        <v>2889</v>
      </c>
      <c r="D60" s="46"/>
    </row>
    <row r="62" spans="2:18">
      <c r="Q62" s="13" t="str">
        <f>Show!$B$44&amp;Show!$B$44&amp;"S.04.01.01.03 Rows {"&amp;COLUMN($C$1)&amp;"}"</f>
        <v>!!S.04.01.01.03 Rows {3}</v>
      </c>
      <c r="R62" s="13" t="str">
        <f>Show!$B$44&amp;Show!$B$44&amp;"S.04.01.01.03 Columns {"&amp;COLUMN($D$1)&amp;"}"</f>
        <v>!!S.04.01.01.03 Columns {4}</v>
      </c>
    </row>
    <row r="64" spans="2:18" ht="18.75">
      <c r="B64" s="88" t="s">
        <v>3447</v>
      </c>
      <c r="C64" s="87"/>
      <c r="D64" s="87"/>
      <c r="E64" s="87"/>
      <c r="F64" s="87"/>
      <c r="G64" s="87"/>
      <c r="H64" s="87"/>
      <c r="I64" s="87"/>
      <c r="J64" s="87"/>
      <c r="K64" s="87"/>
      <c r="L64" s="87"/>
    </row>
    <row r="66" spans="2:18">
      <c r="B66" t="s">
        <v>3110</v>
      </c>
      <c r="Q66" s="13" t="str">
        <f>Show!$B$44&amp;"S.04.01.01.04 Table label {"&amp;COLUMN($C$1)&amp;"}"</f>
        <v>!S.04.01.01.04 Table label {3}</v>
      </c>
      <c r="R66" s="13" t="str">
        <f>Show!$B$44&amp;"S.04.01.01.04 Table value {"&amp;COLUMN($D$1)&amp;"}"</f>
        <v>!S.04.01.01.04 Table value {4}</v>
      </c>
    </row>
    <row r="67" spans="2:18">
      <c r="B67" t="s">
        <v>3111</v>
      </c>
    </row>
    <row r="68" spans="2:18">
      <c r="B68" s="40" t="s">
        <v>3427</v>
      </c>
      <c r="C68" s="53" t="s">
        <v>3113</v>
      </c>
      <c r="D68" s="51"/>
    </row>
    <row r="69" spans="2:18">
      <c r="Q69" s="13" t="str">
        <f>Show!$B$44&amp;Show!$B$44&amp;"S.04.01.01.04 Table label {"&amp;COLUMN($C$1)&amp;"}"</f>
        <v>!!S.04.01.01.04 Table label {3}</v>
      </c>
      <c r="R69" s="13" t="str">
        <f>Show!$B$44&amp;Show!$B$44&amp;"S.04.01.01.04 Table value {"&amp;COLUMN($D$1)&amp;"}"</f>
        <v>!!S.04.01.01.04 Table value {4}</v>
      </c>
    </row>
    <row r="71" spans="2:18">
      <c r="D71" s="89" t="s">
        <v>2877</v>
      </c>
    </row>
    <row r="72" spans="2:18">
      <c r="D72" s="91"/>
    </row>
    <row r="73" spans="2:18" ht="30">
      <c r="D73" s="55" t="s">
        <v>3448</v>
      </c>
    </row>
    <row r="74" spans="2:18" ht="75">
      <c r="D74" s="55" t="s">
        <v>3449</v>
      </c>
    </row>
    <row r="75" spans="2:18">
      <c r="D75" s="42" t="s">
        <v>3241</v>
      </c>
      <c r="Q75" s="13" t="str">
        <f>Show!$B$44&amp;"S.04.01.01.04 Rows {"&amp;COLUMN($C$1)&amp;"}"&amp;"@ForceFilingCode:true"</f>
        <v>!S.04.01.01.04 Rows {3}@ForceFilingCode:true</v>
      </c>
      <c r="R75" s="13" t="str">
        <f>Show!$B$44&amp;"S.04.01.01.04 Columns {"&amp;COLUMN($D$1)&amp;"}"</f>
        <v>!S.04.01.01.04 Columns {4}</v>
      </c>
    </row>
    <row r="76" spans="2:18">
      <c r="B76" s="43" t="s">
        <v>3450</v>
      </c>
      <c r="C76" s="41" t="s">
        <v>2883</v>
      </c>
      <c r="D76" s="68"/>
    </row>
    <row r="77" spans="2:18">
      <c r="B77" s="43" t="s">
        <v>2880</v>
      </c>
      <c r="C77" s="44" t="s">
        <v>2878</v>
      </c>
      <c r="D77" s="46"/>
    </row>
    <row r="78" spans="2:18">
      <c r="B78" s="47" t="s">
        <v>3437</v>
      </c>
      <c r="C78" s="41" t="s">
        <v>2885</v>
      </c>
      <c r="D78" s="60"/>
    </row>
    <row r="79" spans="2:18">
      <c r="B79" s="47" t="s">
        <v>3438</v>
      </c>
      <c r="C79" s="41" t="s">
        <v>2887</v>
      </c>
      <c r="D79" s="60"/>
    </row>
    <row r="80" spans="2:18">
      <c r="B80" s="47" t="s">
        <v>3439</v>
      </c>
      <c r="C80" s="41" t="s">
        <v>2889</v>
      </c>
      <c r="D80" s="60"/>
    </row>
    <row r="82" spans="17:18">
      <c r="Q82" s="13" t="str">
        <f>Show!$B$44&amp;Show!$B$44&amp;"S.04.01.01.04 Rows {"&amp;COLUMN($C$1)&amp;"}"</f>
        <v>!!S.04.01.01.04 Rows {3}</v>
      </c>
      <c r="R82" s="13" t="str">
        <f>Show!$B$44&amp;Show!$B$44&amp;"S.04.01.01.04 Columns {"&amp;COLUMN($D$1)&amp;"}"</f>
        <v>!!S.04.01.01.04 Columns {4}</v>
      </c>
    </row>
  </sheetData>
  <sheetProtection sheet="1" objects="1" scenarios="1"/>
  <mergeCells count="13">
    <mergeCell ref="B2:O2"/>
    <mergeCell ref="B5:L5"/>
    <mergeCell ref="D12:J13"/>
    <mergeCell ref="D14:F14"/>
    <mergeCell ref="G14:I14"/>
    <mergeCell ref="J14:J15"/>
    <mergeCell ref="D71:D72"/>
    <mergeCell ref="B24:L24"/>
    <mergeCell ref="D31:E32"/>
    <mergeCell ref="D33:E33"/>
    <mergeCell ref="B44:L44"/>
    <mergeCell ref="D51:D52"/>
    <mergeCell ref="B64:L64"/>
  </mergeCells>
  <dataValidations count="3">
    <dataValidation type="list" errorStyle="warning" allowBlank="1" showInputMessage="1" showErrorMessage="1" sqref="D9 D28 D48 D68" xr:uid="{8D759D2E-DE08-49D7-A380-3A96DDE63069}">
      <formula1>hier_LB_52</formula1>
    </dataValidation>
    <dataValidation type="list" errorStyle="warning" allowBlank="1" showInputMessage="1" showErrorMessage="1" sqref="D36 E36 D56" xr:uid="{EFF601DB-A58D-4A70-8AD6-A62AC52E293A}">
      <formula1>hier_GA_32</formula1>
    </dataValidation>
    <dataValidation type="list" errorStyle="warning" allowBlank="1" showInputMessage="1" showErrorMessage="1" sqref="D76" xr:uid="{3C5CE021-FB6F-46DD-9BB7-D08E5767B6EE}">
      <formula1>hier_GA_33</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7D101-546D-482C-A026-A67647FC8F62}">
  <sheetPr codeName="Blad49"/>
  <dimension ref="B2:O34"/>
  <sheetViews>
    <sheetView showGridLines="0" workbookViewId="0"/>
  </sheetViews>
  <sheetFormatPr defaultRowHeight="15"/>
  <cols>
    <col min="2" max="2" width="71.140625" bestFit="1" customWidth="1"/>
    <col min="4" max="5" width="15.7109375" customWidth="1"/>
  </cols>
  <sheetData>
    <row r="2" spans="2:15" ht="23.25">
      <c r="B2" s="86" t="s">
        <v>576</v>
      </c>
      <c r="C2" s="87"/>
      <c r="D2" s="87"/>
      <c r="E2" s="87"/>
      <c r="F2" s="87"/>
      <c r="G2" s="87"/>
      <c r="H2" s="87"/>
      <c r="I2" s="87"/>
      <c r="J2" s="87"/>
      <c r="K2" s="87"/>
      <c r="L2" s="87"/>
      <c r="M2" s="87"/>
      <c r="N2" s="87"/>
      <c r="O2" s="87"/>
    </row>
    <row r="5" spans="2:15" ht="18.75">
      <c r="B5" s="88" t="s">
        <v>3451</v>
      </c>
      <c r="C5" s="87"/>
      <c r="D5" s="87"/>
      <c r="E5" s="87"/>
      <c r="F5" s="87"/>
      <c r="G5" s="87"/>
      <c r="H5" s="87"/>
      <c r="I5" s="87"/>
      <c r="J5" s="87"/>
      <c r="K5" s="87"/>
      <c r="L5" s="87"/>
    </row>
    <row r="9" spans="2:15">
      <c r="D9" s="89" t="s">
        <v>2877</v>
      </c>
    </row>
    <row r="10" spans="2:15">
      <c r="D10" s="91"/>
    </row>
    <row r="11" spans="2:15">
      <c r="D11" s="55" t="s">
        <v>3428</v>
      </c>
    </row>
    <row r="12" spans="2:15">
      <c r="D12" s="55" t="s">
        <v>3452</v>
      </c>
    </row>
    <row r="13" spans="2:15">
      <c r="D13" s="45" t="s">
        <v>2879</v>
      </c>
      <c r="K13" s="13" t="str">
        <f>Show!$B$45&amp;"S.04.02.01.01 Rows {"&amp;COLUMN($C$1)&amp;"}"&amp;"@ForceFilingCode:true"</f>
        <v>!S.04.02.01.01 Rows {3}@ForceFilingCode:true</v>
      </c>
      <c r="L13" s="13" t="str">
        <f>Show!$B$45&amp;"S.04.02.01.01 Columns {"&amp;COLUMN($D$1)&amp;"}"</f>
        <v>!S.04.02.01.01 Columns {4}</v>
      </c>
    </row>
    <row r="14" spans="2:15">
      <c r="B14" s="43" t="s">
        <v>2880</v>
      </c>
      <c r="C14" s="44" t="s">
        <v>2878</v>
      </c>
      <c r="D14" s="46"/>
    </row>
    <row r="15" spans="2:15">
      <c r="B15" s="47" t="s">
        <v>3453</v>
      </c>
      <c r="C15" s="41" t="s">
        <v>2885</v>
      </c>
      <c r="D15" s="69"/>
    </row>
    <row r="16" spans="2:15">
      <c r="B16" s="47" t="s">
        <v>3454</v>
      </c>
      <c r="C16" s="41" t="s">
        <v>2887</v>
      </c>
      <c r="D16" s="60"/>
    </row>
    <row r="18" spans="2:12">
      <c r="K18" s="13" t="str">
        <f>Show!$B$45&amp;Show!$B$45&amp;"S.04.02.01.01 Rows {"&amp;COLUMN($C$1)&amp;"}"</f>
        <v>!!S.04.02.01.01 Rows {3}</v>
      </c>
      <c r="L18" s="13" t="str">
        <f>Show!$B$45&amp;Show!$B$45&amp;"S.04.02.01.01 Columns {"&amp;COLUMN($D$1)&amp;"}"</f>
        <v>!!S.04.02.01.01 Columns {4}</v>
      </c>
    </row>
    <row r="20" spans="2:12" ht="18.75">
      <c r="B20" s="88" t="s">
        <v>3455</v>
      </c>
      <c r="C20" s="87"/>
      <c r="D20" s="87"/>
      <c r="E20" s="87"/>
      <c r="F20" s="87"/>
      <c r="G20" s="87"/>
      <c r="H20" s="87"/>
      <c r="I20" s="87"/>
      <c r="J20" s="87"/>
      <c r="K20" s="87"/>
      <c r="L20" s="87"/>
    </row>
    <row r="24" spans="2:12">
      <c r="D24" s="92" t="s">
        <v>2877</v>
      </c>
      <c r="E24" s="94"/>
    </row>
    <row r="25" spans="2:12">
      <c r="D25" s="95"/>
      <c r="E25" s="97"/>
    </row>
    <row r="26" spans="2:12">
      <c r="D26" s="98" t="s">
        <v>3456</v>
      </c>
      <c r="E26" s="99"/>
    </row>
    <row r="27" spans="2:12">
      <c r="D27" s="55" t="s">
        <v>3457</v>
      </c>
      <c r="E27" s="55" t="s">
        <v>3452</v>
      </c>
    </row>
    <row r="28" spans="2:12">
      <c r="D28" s="42" t="s">
        <v>3219</v>
      </c>
      <c r="E28" s="42" t="s">
        <v>3225</v>
      </c>
      <c r="K28" s="13" t="str">
        <f>Show!$B$45&amp;"S.04.02.01.02 Rows {"&amp;COLUMN($C$1)&amp;"}"&amp;"@ForceFilingCode:true"</f>
        <v>!S.04.02.01.02 Rows {3}@ForceFilingCode:true</v>
      </c>
      <c r="L28" s="13" t="str">
        <f>Show!$B$45&amp;"S.04.02.01.02 Columns {"&amp;COLUMN($D$1)&amp;"}"</f>
        <v>!S.04.02.01.02 Columns {4}</v>
      </c>
    </row>
    <row r="29" spans="2:12">
      <c r="B29" s="43" t="s">
        <v>3444</v>
      </c>
      <c r="C29" s="41" t="s">
        <v>2883</v>
      </c>
      <c r="D29" s="68"/>
      <c r="E29" s="68"/>
    </row>
    <row r="30" spans="2:12">
      <c r="B30" s="43" t="s">
        <v>2880</v>
      </c>
      <c r="C30" s="44" t="s">
        <v>2878</v>
      </c>
      <c r="D30" s="56"/>
      <c r="E30" s="57"/>
    </row>
    <row r="31" spans="2:12">
      <c r="B31" s="47" t="s">
        <v>3453</v>
      </c>
      <c r="C31" s="41" t="s">
        <v>2885</v>
      </c>
      <c r="D31" s="69"/>
      <c r="E31" s="69"/>
    </row>
    <row r="32" spans="2:12">
      <c r="B32" s="47" t="s">
        <v>3454</v>
      </c>
      <c r="C32" s="41" t="s">
        <v>2887</v>
      </c>
      <c r="D32" s="60"/>
      <c r="E32" s="60"/>
    </row>
    <row r="34" spans="11:12">
      <c r="K34" s="13" t="str">
        <f>Show!$B$45&amp;Show!$B$45&amp;"S.04.02.01.02 Rows {"&amp;COLUMN($C$1)&amp;"}"</f>
        <v>!!S.04.02.01.02 Rows {3}</v>
      </c>
      <c r="L34" s="13" t="str">
        <f>Show!$B$45&amp;Show!$B$45&amp;"S.04.02.01.02 Columns {"&amp;COLUMN($E$1)&amp;"}"</f>
        <v>!!S.04.02.01.02 Columns {5}</v>
      </c>
    </row>
  </sheetData>
  <sheetProtection sheet="1" objects="1" scenarios="1"/>
  <mergeCells count="6">
    <mergeCell ref="D26:E26"/>
    <mergeCell ref="B2:O2"/>
    <mergeCell ref="B5:L5"/>
    <mergeCell ref="D9:D10"/>
    <mergeCell ref="B20:L20"/>
    <mergeCell ref="D24:E25"/>
  </mergeCells>
  <dataValidations count="1">
    <dataValidation type="list" errorStyle="warning" allowBlank="1" showInputMessage="1" showErrorMessage="1" sqref="D29 E29" xr:uid="{CA3F0712-3BAF-4241-BF72-7062661F5BDE}">
      <formula1>hier_GA_32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591C9-1CFC-4D28-8F5F-DFF04F14F8EE}">
  <sheetPr codeName="Blad5"/>
  <dimension ref="A1:MB984"/>
  <sheetViews>
    <sheetView workbookViewId="0"/>
  </sheetViews>
  <sheetFormatPr defaultRowHeight="15"/>
  <sheetData>
    <row r="1" spans="1:340">
      <c r="A1" t="s">
        <v>816</v>
      </c>
      <c r="B1" t="s">
        <v>818</v>
      </c>
      <c r="C1" t="s">
        <v>821</v>
      </c>
      <c r="D1" t="s">
        <v>823</v>
      </c>
      <c r="E1" t="s">
        <v>825</v>
      </c>
      <c r="F1" t="s">
        <v>827</v>
      </c>
      <c r="G1" t="s">
        <v>829</v>
      </c>
      <c r="H1" t="s">
        <v>831</v>
      </c>
      <c r="I1" t="s">
        <v>833</v>
      </c>
      <c r="J1" t="s">
        <v>836</v>
      </c>
      <c r="K1" t="s">
        <v>837</v>
      </c>
      <c r="L1" t="s">
        <v>838</v>
      </c>
      <c r="M1" t="s">
        <v>841</v>
      </c>
      <c r="N1" t="s">
        <v>843</v>
      </c>
      <c r="O1" t="s">
        <v>845</v>
      </c>
      <c r="P1" t="s">
        <v>847</v>
      </c>
      <c r="Q1" t="s">
        <v>849</v>
      </c>
      <c r="R1" t="s">
        <v>850</v>
      </c>
      <c r="S1" t="s">
        <v>852</v>
      </c>
      <c r="T1" t="s">
        <v>854</v>
      </c>
      <c r="U1" t="s">
        <v>856</v>
      </c>
      <c r="V1" t="s">
        <v>857</v>
      </c>
      <c r="W1" t="s">
        <v>858</v>
      </c>
      <c r="X1" t="s">
        <v>860</v>
      </c>
      <c r="Y1" t="s">
        <v>862</v>
      </c>
      <c r="Z1" t="s">
        <v>864</v>
      </c>
      <c r="AA1" t="s">
        <v>865</v>
      </c>
      <c r="AB1" t="s">
        <v>866</v>
      </c>
      <c r="AC1" t="s">
        <v>867</v>
      </c>
      <c r="AD1" t="s">
        <v>869</v>
      </c>
      <c r="AE1" t="s">
        <v>871</v>
      </c>
      <c r="AF1" t="s">
        <v>873</v>
      </c>
      <c r="AG1" t="s">
        <v>875</v>
      </c>
      <c r="AH1" t="s">
        <v>877</v>
      </c>
      <c r="AI1" t="s">
        <v>882</v>
      </c>
      <c r="AJ1" t="s">
        <v>884</v>
      </c>
      <c r="AK1" t="s">
        <v>885</v>
      </c>
      <c r="AL1" t="s">
        <v>889</v>
      </c>
      <c r="AM1" t="s">
        <v>890</v>
      </c>
      <c r="AN1" t="s">
        <v>892</v>
      </c>
      <c r="AO1" t="s">
        <v>893</v>
      </c>
      <c r="AP1" t="s">
        <v>895</v>
      </c>
      <c r="AQ1" t="s">
        <v>897</v>
      </c>
      <c r="AR1" t="s">
        <v>899</v>
      </c>
      <c r="AS1" t="s">
        <v>901</v>
      </c>
      <c r="AT1" t="s">
        <v>903</v>
      </c>
      <c r="AU1" t="s">
        <v>906</v>
      </c>
      <c r="AV1" t="s">
        <v>908</v>
      </c>
      <c r="AW1" t="s">
        <v>910</v>
      </c>
      <c r="AX1" t="s">
        <v>912</v>
      </c>
      <c r="AY1" t="s">
        <v>918</v>
      </c>
      <c r="AZ1" t="s">
        <v>934</v>
      </c>
      <c r="BA1" t="s">
        <v>1119</v>
      </c>
      <c r="BB1" t="s">
        <v>1124</v>
      </c>
      <c r="BC1" t="s">
        <v>1164</v>
      </c>
      <c r="BD1" t="s">
        <v>1167</v>
      </c>
      <c r="BE1" t="s">
        <v>1171</v>
      </c>
      <c r="BF1" t="s">
        <v>1174</v>
      </c>
      <c r="BG1" t="s">
        <v>1177</v>
      </c>
      <c r="BH1" t="s">
        <v>1180</v>
      </c>
      <c r="BI1" t="s">
        <v>1183</v>
      </c>
      <c r="BJ1" t="s">
        <v>1186</v>
      </c>
      <c r="BK1" t="s">
        <v>1189</v>
      </c>
      <c r="BL1" t="s">
        <v>1192</v>
      </c>
      <c r="BM1" t="s">
        <v>1200</v>
      </c>
      <c r="BN1" t="s">
        <v>1204</v>
      </c>
      <c r="BO1" t="s">
        <v>1207</v>
      </c>
      <c r="BP1" t="s">
        <v>1210</v>
      </c>
      <c r="BQ1" t="s">
        <v>1214</v>
      </c>
      <c r="BR1" t="s">
        <v>1215</v>
      </c>
      <c r="BS1" t="s">
        <v>1218</v>
      </c>
      <c r="BT1" t="s">
        <v>1230</v>
      </c>
      <c r="BU1" t="s">
        <v>1234</v>
      </c>
      <c r="BV1" t="s">
        <v>1234</v>
      </c>
      <c r="BW1" t="s">
        <v>1271</v>
      </c>
      <c r="BX1" t="s">
        <v>1271</v>
      </c>
      <c r="BY1" t="s">
        <v>1272</v>
      </c>
      <c r="BZ1" t="s">
        <v>1272</v>
      </c>
      <c r="CA1" t="s">
        <v>1273</v>
      </c>
      <c r="CB1" t="s">
        <v>1273</v>
      </c>
      <c r="CC1" t="s">
        <v>1274</v>
      </c>
      <c r="CD1" t="s">
        <v>1280</v>
      </c>
      <c r="CE1" t="s">
        <v>1282</v>
      </c>
      <c r="CF1" t="s">
        <v>1288</v>
      </c>
      <c r="CG1" t="s">
        <v>1295</v>
      </c>
      <c r="CH1" t="s">
        <v>2278</v>
      </c>
      <c r="CI1" t="s">
        <v>2281</v>
      </c>
      <c r="CJ1" t="s">
        <v>2282</v>
      </c>
      <c r="CK1" t="s">
        <v>2288</v>
      </c>
      <c r="CL1" t="s">
        <v>2299</v>
      </c>
      <c r="CM1" t="s">
        <v>2303</v>
      </c>
      <c r="CN1" t="s">
        <v>2359</v>
      </c>
      <c r="CO1" t="s">
        <v>2371</v>
      </c>
      <c r="CP1" t="s">
        <v>2390</v>
      </c>
      <c r="CQ1" t="s">
        <v>2392</v>
      </c>
      <c r="CR1" t="s">
        <v>2395</v>
      </c>
      <c r="CS1" t="s">
        <v>2398</v>
      </c>
      <c r="CT1" t="s">
        <v>2414</v>
      </c>
      <c r="CU1" t="s">
        <v>2418</v>
      </c>
      <c r="CV1" t="s">
        <v>2426</v>
      </c>
      <c r="CW1" t="s">
        <v>2432</v>
      </c>
      <c r="CX1" t="s">
        <v>2435</v>
      </c>
      <c r="CY1" t="s">
        <v>2438</v>
      </c>
      <c r="CZ1" t="s">
        <v>2441</v>
      </c>
      <c r="DA1" t="s">
        <v>2446</v>
      </c>
      <c r="DB1" t="s">
        <v>2453</v>
      </c>
      <c r="DC1" t="s">
        <v>2456</v>
      </c>
      <c r="DD1" t="s">
        <v>2457</v>
      </c>
      <c r="DE1" t="s">
        <v>2458</v>
      </c>
      <c r="DF1" t="s">
        <v>2466</v>
      </c>
      <c r="DG1" t="s">
        <v>2473</v>
      </c>
      <c r="DH1" t="s">
        <v>2474</v>
      </c>
      <c r="DI1" t="s">
        <v>2479</v>
      </c>
      <c r="DJ1" t="s">
        <v>2482</v>
      </c>
      <c r="DK1" t="s">
        <v>2483</v>
      </c>
      <c r="DL1" t="s">
        <v>2489</v>
      </c>
      <c r="DM1" t="s">
        <v>2492</v>
      </c>
      <c r="DN1" t="s">
        <v>2496</v>
      </c>
      <c r="DO1" t="s">
        <v>2500</v>
      </c>
      <c r="DP1" t="s">
        <v>2505</v>
      </c>
      <c r="DQ1" t="s">
        <v>2510</v>
      </c>
      <c r="DR1" t="s">
        <v>2515</v>
      </c>
      <c r="DS1" t="s">
        <v>2515</v>
      </c>
      <c r="DT1" t="s">
        <v>2528</v>
      </c>
      <c r="DU1" t="s">
        <v>2528</v>
      </c>
      <c r="DV1" t="s">
        <v>2531</v>
      </c>
      <c r="DW1" t="s">
        <v>2531</v>
      </c>
      <c r="DX1" t="s">
        <v>2534</v>
      </c>
      <c r="DY1" t="s">
        <v>2534</v>
      </c>
      <c r="DZ1" t="s">
        <v>2535</v>
      </c>
      <c r="EA1" t="s">
        <v>2541</v>
      </c>
      <c r="EB1" t="s">
        <v>2541</v>
      </c>
      <c r="EC1" t="s">
        <v>2544</v>
      </c>
      <c r="ED1" t="s">
        <v>2550</v>
      </c>
      <c r="EE1" t="s">
        <v>2553</v>
      </c>
      <c r="EF1" t="s">
        <v>2553</v>
      </c>
      <c r="EG1" t="s">
        <v>2556</v>
      </c>
      <c r="EH1" t="s">
        <v>2561</v>
      </c>
      <c r="EI1" t="s">
        <v>2565</v>
      </c>
      <c r="EJ1" t="s">
        <v>2570</v>
      </c>
      <c r="EK1" t="s">
        <v>2573</v>
      </c>
      <c r="EL1" t="s">
        <v>2575</v>
      </c>
      <c r="EM1" t="s">
        <v>2578</v>
      </c>
      <c r="EN1" t="s">
        <v>2580</v>
      </c>
      <c r="EO1" t="s">
        <v>2582</v>
      </c>
      <c r="EP1" t="s">
        <v>2585</v>
      </c>
      <c r="EQ1" t="s">
        <v>2585</v>
      </c>
      <c r="ER1" t="s">
        <v>2586</v>
      </c>
      <c r="ES1" t="s">
        <v>2588</v>
      </c>
      <c r="ET1" t="s">
        <v>2588</v>
      </c>
      <c r="EU1" t="s">
        <v>2590</v>
      </c>
      <c r="EV1" t="s">
        <v>2590</v>
      </c>
      <c r="EW1" t="s">
        <v>2591</v>
      </c>
      <c r="EX1" t="s">
        <v>2594</v>
      </c>
      <c r="EY1" t="s">
        <v>2597</v>
      </c>
      <c r="EZ1" t="s">
        <v>2608</v>
      </c>
      <c r="FA1" t="s">
        <v>2608</v>
      </c>
      <c r="FB1" t="s">
        <v>2610</v>
      </c>
      <c r="FC1" t="s">
        <v>2625</v>
      </c>
      <c r="FD1" t="s">
        <v>2628</v>
      </c>
      <c r="FE1" t="s">
        <v>2633</v>
      </c>
      <c r="FF1" t="s">
        <v>2639</v>
      </c>
      <c r="FG1" t="s">
        <v>2642</v>
      </c>
      <c r="FH1" t="s">
        <v>2649</v>
      </c>
      <c r="FI1" t="s">
        <v>2652</v>
      </c>
      <c r="FJ1" t="s">
        <v>2655</v>
      </c>
      <c r="FK1" t="s">
        <v>2661</v>
      </c>
      <c r="FL1" t="s">
        <v>2664</v>
      </c>
      <c r="FM1" t="s">
        <v>2670</v>
      </c>
      <c r="FN1" t="s">
        <v>2671</v>
      </c>
      <c r="FO1" t="s">
        <v>2676</v>
      </c>
      <c r="FP1" t="s">
        <v>2683</v>
      </c>
      <c r="FQ1" t="s">
        <v>2692</v>
      </c>
      <c r="FR1" t="s">
        <v>2692</v>
      </c>
      <c r="FS1" t="s">
        <v>2693</v>
      </c>
      <c r="FT1" t="s">
        <v>2697</v>
      </c>
      <c r="FU1" t="s">
        <v>2702</v>
      </c>
      <c r="FV1" t="s">
        <v>2702</v>
      </c>
      <c r="FW1" t="s">
        <v>2705</v>
      </c>
      <c r="FX1" t="s">
        <v>2707</v>
      </c>
      <c r="FY1" t="s">
        <v>2709</v>
      </c>
      <c r="FZ1" t="s">
        <v>2711</v>
      </c>
      <c r="GA1" t="s">
        <v>2714</v>
      </c>
      <c r="GB1" t="s">
        <v>2714</v>
      </c>
      <c r="GC1" t="s">
        <v>2716</v>
      </c>
      <c r="GD1" t="s">
        <v>2718</v>
      </c>
      <c r="GE1" t="s">
        <v>2720</v>
      </c>
      <c r="GF1" t="s">
        <v>2721</v>
      </c>
      <c r="GG1" t="s">
        <v>2722</v>
      </c>
      <c r="GH1" t="s">
        <v>2723</v>
      </c>
      <c r="GI1" t="s">
        <v>2724</v>
      </c>
      <c r="GJ1" t="s">
        <v>2725</v>
      </c>
      <c r="GK1" t="s">
        <v>2726</v>
      </c>
      <c r="GL1" t="s">
        <v>2727</v>
      </c>
      <c r="GM1" t="s">
        <v>2728</v>
      </c>
      <c r="GN1" t="s">
        <v>2729</v>
      </c>
      <c r="GO1" t="s">
        <v>2730</v>
      </c>
      <c r="GP1" t="s">
        <v>2731</v>
      </c>
      <c r="GQ1" t="s">
        <v>2732</v>
      </c>
      <c r="GR1" t="s">
        <v>2733</v>
      </c>
      <c r="GS1" t="s">
        <v>2734</v>
      </c>
      <c r="GT1" t="s">
        <v>2735</v>
      </c>
      <c r="GU1" t="s">
        <v>2736</v>
      </c>
      <c r="GV1" t="s">
        <v>2738</v>
      </c>
      <c r="GW1" t="s">
        <v>2739</v>
      </c>
      <c r="GX1" t="s">
        <v>2740</v>
      </c>
      <c r="GY1" t="s">
        <v>2741</v>
      </c>
      <c r="GZ1" t="s">
        <v>2742</v>
      </c>
      <c r="HA1" t="s">
        <v>2744</v>
      </c>
      <c r="HB1" t="s">
        <v>2747</v>
      </c>
      <c r="HC1" t="s">
        <v>2748</v>
      </c>
      <c r="HD1" t="s">
        <v>2751</v>
      </c>
      <c r="HE1" t="s">
        <v>2755</v>
      </c>
      <c r="HF1" t="s">
        <v>2763</v>
      </c>
      <c r="HG1" t="s">
        <v>2765</v>
      </c>
      <c r="HH1" t="s">
        <v>2766</v>
      </c>
      <c r="HI1" t="s">
        <v>2779</v>
      </c>
      <c r="HJ1" t="s">
        <v>2782</v>
      </c>
      <c r="HK1" t="s">
        <v>2785</v>
      </c>
      <c r="HL1" t="s">
        <v>2790</v>
      </c>
      <c r="HM1" t="s">
        <v>2801</v>
      </c>
      <c r="HN1" t="s">
        <v>2801</v>
      </c>
      <c r="HO1" t="s">
        <v>2803</v>
      </c>
      <c r="HP1" t="s">
        <v>2806</v>
      </c>
      <c r="HQ1" t="s">
        <v>2809</v>
      </c>
      <c r="HR1" t="s">
        <v>2813</v>
      </c>
      <c r="HS1" t="s">
        <v>2814</v>
      </c>
      <c r="HT1" t="s">
        <v>2825</v>
      </c>
      <c r="HU1" t="s">
        <v>2826</v>
      </c>
      <c r="HV1" t="s">
        <v>2828</v>
      </c>
      <c r="HW1" t="s">
        <v>2829</v>
      </c>
      <c r="HX1" t="s">
        <v>2830</v>
      </c>
      <c r="HY1" t="s">
        <v>2831</v>
      </c>
      <c r="HZ1" t="s">
        <v>2832</v>
      </c>
      <c r="IA1" t="s">
        <v>2833</v>
      </c>
      <c r="IB1" t="s">
        <v>2834</v>
      </c>
      <c r="IC1" t="s">
        <v>2835</v>
      </c>
      <c r="ID1" t="s">
        <v>2836</v>
      </c>
      <c r="IE1" t="s">
        <v>2837</v>
      </c>
      <c r="IF1" t="s">
        <v>2838</v>
      </c>
      <c r="IG1" t="s">
        <v>2839</v>
      </c>
      <c r="IH1" t="s">
        <v>2842</v>
      </c>
      <c r="II1" t="s">
        <v>2845</v>
      </c>
      <c r="IJ1" t="s">
        <v>2847</v>
      </c>
      <c r="IK1" t="s">
        <v>2848</v>
      </c>
      <c r="IL1" t="s">
        <v>2849</v>
      </c>
      <c r="IM1" t="s">
        <v>2851</v>
      </c>
      <c r="IN1" t="s">
        <v>2852</v>
      </c>
      <c r="IO1" t="s">
        <v>2864</v>
      </c>
      <c r="IP1" t="s">
        <v>2869</v>
      </c>
      <c r="IQ1" t="s">
        <v>2870</v>
      </c>
      <c r="IR1" t="s">
        <v>2873</v>
      </c>
      <c r="IS1" t="s">
        <v>3116</v>
      </c>
      <c r="IT1" t="s">
        <v>3116</v>
      </c>
      <c r="IU1" t="s">
        <v>3116</v>
      </c>
      <c r="IV1" t="s">
        <v>3116</v>
      </c>
      <c r="IW1" t="s">
        <v>3116</v>
      </c>
      <c r="IX1" t="s">
        <v>3116</v>
      </c>
      <c r="IY1" t="s">
        <v>3116</v>
      </c>
      <c r="IZ1" t="s">
        <v>3116</v>
      </c>
      <c r="JA1" t="s">
        <v>3116</v>
      </c>
      <c r="JB1" t="s">
        <v>3116</v>
      </c>
      <c r="JC1" t="s">
        <v>3116</v>
      </c>
      <c r="JD1" t="s">
        <v>3116</v>
      </c>
      <c r="JE1" t="s">
        <v>3116</v>
      </c>
      <c r="JF1" t="s">
        <v>3116</v>
      </c>
      <c r="JG1" t="s">
        <v>3116</v>
      </c>
      <c r="JH1" t="s">
        <v>3116</v>
      </c>
      <c r="JI1" t="s">
        <v>3116</v>
      </c>
      <c r="JJ1" t="s">
        <v>3116</v>
      </c>
      <c r="JK1" t="s">
        <v>3116</v>
      </c>
      <c r="JL1" t="s">
        <v>3116</v>
      </c>
      <c r="JM1" t="s">
        <v>3116</v>
      </c>
      <c r="JN1" t="s">
        <v>3116</v>
      </c>
      <c r="JO1" t="s">
        <v>3116</v>
      </c>
      <c r="JP1" t="s">
        <v>3116</v>
      </c>
      <c r="JQ1" t="s">
        <v>3116</v>
      </c>
      <c r="JR1" t="s">
        <v>3116</v>
      </c>
      <c r="JS1" t="s">
        <v>3116</v>
      </c>
      <c r="JT1" t="s">
        <v>3116</v>
      </c>
      <c r="JU1" t="s">
        <v>3116</v>
      </c>
      <c r="JV1" t="s">
        <v>3116</v>
      </c>
      <c r="JW1" t="s">
        <v>3116</v>
      </c>
      <c r="JX1" t="s">
        <v>3116</v>
      </c>
      <c r="JY1" t="s">
        <v>3116</v>
      </c>
      <c r="JZ1" t="s">
        <v>3116</v>
      </c>
      <c r="KA1" t="s">
        <v>3116</v>
      </c>
      <c r="KB1" t="s">
        <v>3116</v>
      </c>
      <c r="KC1" t="s">
        <v>3116</v>
      </c>
      <c r="KD1" t="s">
        <v>3116</v>
      </c>
      <c r="KE1" t="s">
        <v>3116</v>
      </c>
      <c r="KF1" t="s">
        <v>3116</v>
      </c>
      <c r="KG1" t="s">
        <v>3116</v>
      </c>
      <c r="KH1" t="s">
        <v>3116</v>
      </c>
      <c r="KI1" t="s">
        <v>3116</v>
      </c>
      <c r="KJ1" t="s">
        <v>3116</v>
      </c>
      <c r="KK1" t="s">
        <v>3116</v>
      </c>
      <c r="KL1" t="s">
        <v>3116</v>
      </c>
      <c r="KM1" t="s">
        <v>3116</v>
      </c>
      <c r="KN1" t="s">
        <v>3116</v>
      </c>
      <c r="KO1" t="s">
        <v>3116</v>
      </c>
      <c r="KP1" t="s">
        <v>3116</v>
      </c>
      <c r="KQ1" t="s">
        <v>3116</v>
      </c>
      <c r="KR1" t="s">
        <v>3116</v>
      </c>
      <c r="KS1" t="s">
        <v>3116</v>
      </c>
      <c r="KT1" t="s">
        <v>3116</v>
      </c>
      <c r="KU1" t="s">
        <v>3116</v>
      </c>
      <c r="KV1" t="s">
        <v>3116</v>
      </c>
      <c r="KW1" t="s">
        <v>3116</v>
      </c>
      <c r="KX1" t="s">
        <v>3116</v>
      </c>
      <c r="KY1" t="s">
        <v>3116</v>
      </c>
      <c r="KZ1" t="s">
        <v>3116</v>
      </c>
      <c r="LA1" t="s">
        <v>3116</v>
      </c>
      <c r="LB1" t="s">
        <v>3116</v>
      </c>
      <c r="LC1" t="s">
        <v>3116</v>
      </c>
      <c r="LD1" t="s">
        <v>3116</v>
      </c>
      <c r="LE1" t="s">
        <v>3116</v>
      </c>
      <c r="LF1" t="s">
        <v>3116</v>
      </c>
      <c r="LG1" t="s">
        <v>3116</v>
      </c>
      <c r="LH1" t="s">
        <v>3116</v>
      </c>
      <c r="LI1" t="s">
        <v>3116</v>
      </c>
      <c r="LJ1" t="s">
        <v>3116</v>
      </c>
      <c r="LK1" t="s">
        <v>3116</v>
      </c>
      <c r="LL1" t="s">
        <v>3116</v>
      </c>
      <c r="LM1" t="s">
        <v>3116</v>
      </c>
      <c r="LN1" t="s">
        <v>3116</v>
      </c>
      <c r="LO1" t="s">
        <v>3116</v>
      </c>
      <c r="LP1" t="s">
        <v>3116</v>
      </c>
      <c r="LQ1" t="s">
        <v>3116</v>
      </c>
      <c r="LR1" t="s">
        <v>3116</v>
      </c>
      <c r="LS1" t="s">
        <v>3116</v>
      </c>
      <c r="LT1" t="s">
        <v>3116</v>
      </c>
      <c r="LU1" t="s">
        <v>3116</v>
      </c>
      <c r="LV1" t="s">
        <v>3116</v>
      </c>
      <c r="LW1" t="s">
        <v>3116</v>
      </c>
      <c r="LX1" t="s">
        <v>3116</v>
      </c>
      <c r="LY1" t="s">
        <v>3116</v>
      </c>
      <c r="LZ1" t="s">
        <v>3116</v>
      </c>
      <c r="MA1" t="s">
        <v>3116</v>
      </c>
      <c r="MB1" t="s">
        <v>3116</v>
      </c>
    </row>
    <row r="2" spans="1:340">
      <c r="A2" t="s">
        <v>817</v>
      </c>
      <c r="B2" t="s">
        <v>817</v>
      </c>
      <c r="C2" t="s">
        <v>817</v>
      </c>
      <c r="D2" t="s">
        <v>817</v>
      </c>
      <c r="E2" t="s">
        <v>817</v>
      </c>
      <c r="F2" t="s">
        <v>817</v>
      </c>
      <c r="G2" t="s">
        <v>817</v>
      </c>
      <c r="H2" t="s">
        <v>817</v>
      </c>
      <c r="I2" t="s">
        <v>817</v>
      </c>
      <c r="J2" t="s">
        <v>817</v>
      </c>
      <c r="K2" t="s">
        <v>817</v>
      </c>
      <c r="L2" t="s">
        <v>817</v>
      </c>
      <c r="M2" t="s">
        <v>817</v>
      </c>
      <c r="N2" t="s">
        <v>817</v>
      </c>
      <c r="O2" t="s">
        <v>817</v>
      </c>
      <c r="P2" t="s">
        <v>817</v>
      </c>
      <c r="Q2" t="s">
        <v>817</v>
      </c>
      <c r="R2" t="s">
        <v>817</v>
      </c>
      <c r="S2" t="s">
        <v>817</v>
      </c>
      <c r="T2" t="s">
        <v>817</v>
      </c>
      <c r="U2" t="s">
        <v>817</v>
      </c>
      <c r="V2" t="s">
        <v>817</v>
      </c>
      <c r="W2" t="s">
        <v>817</v>
      </c>
      <c r="X2" t="s">
        <v>817</v>
      </c>
      <c r="Y2" t="s">
        <v>817</v>
      </c>
      <c r="Z2" t="s">
        <v>817</v>
      </c>
      <c r="AA2" t="s">
        <v>817</v>
      </c>
      <c r="AB2" t="s">
        <v>817</v>
      </c>
      <c r="AC2" t="s">
        <v>817</v>
      </c>
      <c r="AD2" t="s">
        <v>817</v>
      </c>
      <c r="AE2" t="s">
        <v>817</v>
      </c>
      <c r="AF2" t="s">
        <v>817</v>
      </c>
      <c r="AG2" t="s">
        <v>817</v>
      </c>
      <c r="AH2" t="s">
        <v>878</v>
      </c>
      <c r="AI2" t="s">
        <v>817</v>
      </c>
      <c r="AJ2" t="s">
        <v>817</v>
      </c>
      <c r="AK2" t="s">
        <v>817</v>
      </c>
      <c r="AL2" t="s">
        <v>817</v>
      </c>
      <c r="AM2" t="s">
        <v>817</v>
      </c>
      <c r="AN2" t="s">
        <v>817</v>
      </c>
      <c r="AO2" t="s">
        <v>817</v>
      </c>
      <c r="AP2" t="s">
        <v>817</v>
      </c>
      <c r="AQ2" t="s">
        <v>817</v>
      </c>
      <c r="AR2" t="s">
        <v>817</v>
      </c>
      <c r="AS2" t="s">
        <v>817</v>
      </c>
      <c r="AT2" t="s">
        <v>817</v>
      </c>
      <c r="AU2" t="s">
        <v>817</v>
      </c>
      <c r="AV2" t="s">
        <v>817</v>
      </c>
      <c r="AW2" t="s">
        <v>817</v>
      </c>
      <c r="AX2" t="s">
        <v>913</v>
      </c>
      <c r="AY2" t="s">
        <v>1</v>
      </c>
      <c r="AZ2" t="s">
        <v>935</v>
      </c>
      <c r="BA2" t="s">
        <v>1120</v>
      </c>
      <c r="BB2" t="s">
        <v>4</v>
      </c>
      <c r="BC2" t="s">
        <v>1165</v>
      </c>
      <c r="BD2" t="s">
        <v>1168</v>
      </c>
      <c r="BE2" t="s">
        <v>1172</v>
      </c>
      <c r="BF2" t="s">
        <v>1175</v>
      </c>
      <c r="BG2" t="s">
        <v>1178</v>
      </c>
      <c r="BH2" t="s">
        <v>1181</v>
      </c>
      <c r="BI2" t="s">
        <v>1184</v>
      </c>
      <c r="BJ2" t="s">
        <v>1187</v>
      </c>
      <c r="BK2" t="s">
        <v>1190</v>
      </c>
      <c r="BL2" t="s">
        <v>1193</v>
      </c>
      <c r="BM2" t="s">
        <v>1201</v>
      </c>
      <c r="BN2" t="s">
        <v>1205</v>
      </c>
      <c r="BO2" t="s">
        <v>1208</v>
      </c>
      <c r="BP2" t="s">
        <v>1211</v>
      </c>
      <c r="BQ2" t="s">
        <v>1201</v>
      </c>
      <c r="BR2" t="s">
        <v>1216</v>
      </c>
      <c r="BS2" t="s">
        <v>1219</v>
      </c>
      <c r="BT2" t="s">
        <v>1231</v>
      </c>
      <c r="BU2" t="s">
        <v>1235</v>
      </c>
      <c r="BV2" t="s">
        <v>1235</v>
      </c>
      <c r="BW2" t="s">
        <v>1</v>
      </c>
      <c r="BX2" t="s">
        <v>1</v>
      </c>
      <c r="BY2" t="s">
        <v>1</v>
      </c>
      <c r="BZ2" t="s">
        <v>1</v>
      </c>
      <c r="CA2" t="s">
        <v>5</v>
      </c>
      <c r="CB2" t="s">
        <v>5</v>
      </c>
      <c r="CC2" t="s">
        <v>1275</v>
      </c>
      <c r="CD2" t="s">
        <v>1231</v>
      </c>
      <c r="CE2" t="s">
        <v>1283</v>
      </c>
      <c r="CF2" t="s">
        <v>1289</v>
      </c>
      <c r="CG2" t="s">
        <v>1231</v>
      </c>
      <c r="CH2" t="s">
        <v>1</v>
      </c>
      <c r="CI2" t="s">
        <v>1231</v>
      </c>
      <c r="CJ2" t="s">
        <v>2283</v>
      </c>
      <c r="CK2" t="s">
        <v>2289</v>
      </c>
      <c r="CL2" t="s">
        <v>2300</v>
      </c>
      <c r="CM2" t="s">
        <v>2304</v>
      </c>
      <c r="CN2" t="s">
        <v>2360</v>
      </c>
      <c r="CO2" t="s">
        <v>2372</v>
      </c>
      <c r="CP2" t="s">
        <v>1</v>
      </c>
      <c r="CQ2" t="s">
        <v>1231</v>
      </c>
      <c r="CR2" t="s">
        <v>2372</v>
      </c>
      <c r="CS2" t="s">
        <v>2399</v>
      </c>
      <c r="CT2" t="s">
        <v>2415</v>
      </c>
      <c r="CU2" t="s">
        <v>2419</v>
      </c>
      <c r="CV2" t="s">
        <v>1231</v>
      </c>
      <c r="CW2" t="s">
        <v>2433</v>
      </c>
      <c r="CX2" t="s">
        <v>2436</v>
      </c>
      <c r="CY2" t="s">
        <v>2439</v>
      </c>
      <c r="CZ2" t="s">
        <v>2442</v>
      </c>
      <c r="DA2" t="s">
        <v>2447</v>
      </c>
      <c r="DB2" t="s">
        <v>2454</v>
      </c>
      <c r="DC2" t="s">
        <v>2304</v>
      </c>
      <c r="DD2" t="s">
        <v>2360</v>
      </c>
      <c r="DE2" t="s">
        <v>2459</v>
      </c>
      <c r="DF2" t="s">
        <v>2467</v>
      </c>
      <c r="DG2" t="s">
        <v>2372</v>
      </c>
      <c r="DH2" t="s">
        <v>2475</v>
      </c>
      <c r="DI2" t="s">
        <v>2372</v>
      </c>
      <c r="DJ2" t="s">
        <v>1263</v>
      </c>
      <c r="DK2" t="s">
        <v>2484</v>
      </c>
      <c r="DL2" t="s">
        <v>1231</v>
      </c>
      <c r="DM2" t="s">
        <v>2493</v>
      </c>
      <c r="DN2" t="s">
        <v>1231</v>
      </c>
      <c r="DO2" t="s">
        <v>2501</v>
      </c>
      <c r="DP2" t="s">
        <v>2506</v>
      </c>
      <c r="DQ2" t="s">
        <v>2511</v>
      </c>
      <c r="DR2" t="s">
        <v>2516</v>
      </c>
      <c r="DS2" t="s">
        <v>2516</v>
      </c>
      <c r="DT2" t="s">
        <v>2529</v>
      </c>
      <c r="DU2" t="s">
        <v>2529</v>
      </c>
      <c r="DV2" t="s">
        <v>2532</v>
      </c>
      <c r="DW2" t="s">
        <v>2532</v>
      </c>
      <c r="DX2" t="s">
        <v>1235</v>
      </c>
      <c r="DY2" t="s">
        <v>1235</v>
      </c>
      <c r="DZ2" t="s">
        <v>2536</v>
      </c>
      <c r="EA2" t="s">
        <v>2542</v>
      </c>
      <c r="EB2" t="s">
        <v>2542</v>
      </c>
      <c r="EC2" t="s">
        <v>2545</v>
      </c>
      <c r="ED2" t="s">
        <v>2551</v>
      </c>
      <c r="EE2" t="s">
        <v>2554</v>
      </c>
      <c r="EF2" t="s">
        <v>2554</v>
      </c>
      <c r="EG2" t="s">
        <v>2557</v>
      </c>
      <c r="EH2" t="s">
        <v>2562</v>
      </c>
      <c r="EI2" t="s">
        <v>2566</v>
      </c>
      <c r="EJ2" t="s">
        <v>2571</v>
      </c>
      <c r="EK2" t="s">
        <v>2574</v>
      </c>
      <c r="EL2" t="s">
        <v>2576</v>
      </c>
      <c r="EM2" t="s">
        <v>2579</v>
      </c>
      <c r="EN2" t="s">
        <v>2581</v>
      </c>
      <c r="EO2" t="s">
        <v>1231</v>
      </c>
      <c r="EP2" t="s">
        <v>5</v>
      </c>
      <c r="EQ2" t="s">
        <v>5</v>
      </c>
      <c r="ER2" t="s">
        <v>2587</v>
      </c>
      <c r="ES2" t="s">
        <v>2516</v>
      </c>
      <c r="ET2" t="s">
        <v>2516</v>
      </c>
      <c r="EU2" t="s">
        <v>1235</v>
      </c>
      <c r="EV2" t="s">
        <v>1235</v>
      </c>
      <c r="EW2" t="s">
        <v>1231</v>
      </c>
      <c r="EX2" t="s">
        <v>2595</v>
      </c>
      <c r="EY2" t="s">
        <v>2598</v>
      </c>
      <c r="EZ2" t="s">
        <v>1235</v>
      </c>
      <c r="FA2" t="s">
        <v>1235</v>
      </c>
      <c r="FB2" t="s">
        <v>2611</v>
      </c>
      <c r="FC2" t="s">
        <v>2626</v>
      </c>
      <c r="FD2" t="s">
        <v>2629</v>
      </c>
      <c r="FE2" t="s">
        <v>2634</v>
      </c>
      <c r="FF2" t="s">
        <v>2640</v>
      </c>
      <c r="FG2" t="s">
        <v>2643</v>
      </c>
      <c r="FH2" t="s">
        <v>2643</v>
      </c>
      <c r="FI2" t="s">
        <v>2653</v>
      </c>
      <c r="FJ2" t="s">
        <v>1231</v>
      </c>
      <c r="FK2" t="s">
        <v>2662</v>
      </c>
      <c r="FL2" t="s">
        <v>2665</v>
      </c>
      <c r="FM2" t="s">
        <v>1</v>
      </c>
      <c r="FN2" t="s">
        <v>2672</v>
      </c>
      <c r="FO2" t="s">
        <v>2677</v>
      </c>
      <c r="FP2" t="s">
        <v>2383</v>
      </c>
      <c r="FQ2" t="s">
        <v>1235</v>
      </c>
      <c r="FR2" t="s">
        <v>1235</v>
      </c>
      <c r="FS2" t="s">
        <v>2611</v>
      </c>
      <c r="FT2" t="s">
        <v>2698</v>
      </c>
      <c r="FU2" t="s">
        <v>2703</v>
      </c>
      <c r="FV2" t="s">
        <v>2703</v>
      </c>
      <c r="FW2" t="s">
        <v>817</v>
      </c>
      <c r="FX2" t="s">
        <v>817</v>
      </c>
      <c r="FY2" t="s">
        <v>817</v>
      </c>
      <c r="FZ2" t="s">
        <v>817</v>
      </c>
      <c r="GA2" t="s">
        <v>2715</v>
      </c>
      <c r="GB2" t="s">
        <v>2715</v>
      </c>
      <c r="GC2" t="s">
        <v>817</v>
      </c>
      <c r="GD2" t="s">
        <v>817</v>
      </c>
      <c r="GE2" t="s">
        <v>817</v>
      </c>
      <c r="GF2" t="s">
        <v>817</v>
      </c>
      <c r="GG2" t="s">
        <v>817</v>
      </c>
      <c r="GH2" t="s">
        <v>817</v>
      </c>
      <c r="GI2" t="s">
        <v>817</v>
      </c>
      <c r="GJ2" t="s">
        <v>817</v>
      </c>
      <c r="GK2" t="s">
        <v>817</v>
      </c>
      <c r="GL2" t="s">
        <v>817</v>
      </c>
      <c r="GM2" t="s">
        <v>817</v>
      </c>
      <c r="GN2" t="s">
        <v>878</v>
      </c>
      <c r="GO2" t="s">
        <v>817</v>
      </c>
      <c r="GP2" t="s">
        <v>817</v>
      </c>
      <c r="GQ2" t="s">
        <v>817</v>
      </c>
      <c r="GR2" t="s">
        <v>817</v>
      </c>
      <c r="GS2" t="s">
        <v>817</v>
      </c>
      <c r="GT2" t="s">
        <v>817</v>
      </c>
      <c r="GU2" t="s">
        <v>817</v>
      </c>
      <c r="GV2" t="s">
        <v>817</v>
      </c>
      <c r="GW2" t="s">
        <v>817</v>
      </c>
      <c r="GX2" t="s">
        <v>817</v>
      </c>
      <c r="GY2" t="s">
        <v>817</v>
      </c>
      <c r="GZ2" t="s">
        <v>817</v>
      </c>
      <c r="HA2" t="s">
        <v>2745</v>
      </c>
      <c r="HB2" t="s">
        <v>1120</v>
      </c>
      <c r="HC2" t="s">
        <v>2749</v>
      </c>
      <c r="HD2" t="s">
        <v>2752</v>
      </c>
      <c r="HE2" t="s">
        <v>2300</v>
      </c>
      <c r="HF2" t="s">
        <v>2304</v>
      </c>
      <c r="HG2" t="s">
        <v>2304</v>
      </c>
      <c r="HH2" t="s">
        <v>913</v>
      </c>
      <c r="HI2" t="s">
        <v>2780</v>
      </c>
      <c r="HJ2" t="s">
        <v>2783</v>
      </c>
      <c r="HK2" t="s">
        <v>2786</v>
      </c>
      <c r="HL2" t="s">
        <v>2791</v>
      </c>
      <c r="HM2" t="s">
        <v>1231</v>
      </c>
      <c r="HN2" t="s">
        <v>1231</v>
      </c>
      <c r="HO2" t="s">
        <v>2804</v>
      </c>
      <c r="HP2" t="s">
        <v>2807</v>
      </c>
      <c r="HQ2" t="s">
        <v>2810</v>
      </c>
      <c r="HR2" t="s">
        <v>2752</v>
      </c>
      <c r="HS2" t="s">
        <v>2815</v>
      </c>
      <c r="HT2" t="s">
        <v>817</v>
      </c>
      <c r="HU2" t="s">
        <v>817</v>
      </c>
      <c r="HV2" t="s">
        <v>817</v>
      </c>
      <c r="HW2" t="s">
        <v>817</v>
      </c>
      <c r="HX2" t="s">
        <v>817</v>
      </c>
      <c r="HY2" t="s">
        <v>817</v>
      </c>
      <c r="HZ2" t="s">
        <v>817</v>
      </c>
      <c r="IA2" t="s">
        <v>817</v>
      </c>
      <c r="IB2" t="s">
        <v>817</v>
      </c>
      <c r="IC2" t="s">
        <v>817</v>
      </c>
      <c r="ID2" t="s">
        <v>817</v>
      </c>
      <c r="IE2" t="s">
        <v>913</v>
      </c>
      <c r="IF2" t="s">
        <v>2555</v>
      </c>
      <c r="IG2" t="s">
        <v>2840</v>
      </c>
      <c r="IH2" t="s">
        <v>2843</v>
      </c>
      <c r="II2" t="s">
        <v>817</v>
      </c>
      <c r="IJ2" t="s">
        <v>817</v>
      </c>
      <c r="IK2" t="s">
        <v>817</v>
      </c>
      <c r="IL2" t="s">
        <v>817</v>
      </c>
      <c r="IM2" t="s">
        <v>817</v>
      </c>
      <c r="IN2" t="s">
        <v>2853</v>
      </c>
      <c r="IO2" t="s">
        <v>2865</v>
      </c>
      <c r="IP2" t="s">
        <v>817</v>
      </c>
      <c r="IQ2" t="s">
        <v>2871</v>
      </c>
      <c r="IR2" t="s">
        <v>2874</v>
      </c>
    </row>
    <row r="3" spans="1:340">
      <c r="B3" t="s">
        <v>819</v>
      </c>
      <c r="C3" t="s">
        <v>822</v>
      </c>
      <c r="D3" t="s">
        <v>824</v>
      </c>
      <c r="E3" t="s">
        <v>826</v>
      </c>
      <c r="F3" t="s">
        <v>828</v>
      </c>
      <c r="G3" t="s">
        <v>830</v>
      </c>
      <c r="H3" t="s">
        <v>832</v>
      </c>
      <c r="I3" t="s">
        <v>834</v>
      </c>
      <c r="J3" t="s">
        <v>822</v>
      </c>
      <c r="K3" t="s">
        <v>824</v>
      </c>
      <c r="L3" t="s">
        <v>839</v>
      </c>
      <c r="M3" t="s">
        <v>822</v>
      </c>
      <c r="N3" t="s">
        <v>844</v>
      </c>
      <c r="O3" t="s">
        <v>846</v>
      </c>
      <c r="P3" t="s">
        <v>848</v>
      </c>
      <c r="Q3" t="s">
        <v>820</v>
      </c>
      <c r="R3" t="s">
        <v>851</v>
      </c>
      <c r="S3" t="s">
        <v>853</v>
      </c>
      <c r="T3" t="s">
        <v>855</v>
      </c>
      <c r="U3" t="s">
        <v>855</v>
      </c>
      <c r="V3" t="s">
        <v>855</v>
      </c>
      <c r="W3" t="s">
        <v>859</v>
      </c>
      <c r="X3" t="s">
        <v>861</v>
      </c>
      <c r="Y3" t="s">
        <v>863</v>
      </c>
      <c r="Z3" t="s">
        <v>863</v>
      </c>
      <c r="AA3" t="s">
        <v>863</v>
      </c>
      <c r="AB3" t="s">
        <v>863</v>
      </c>
      <c r="AC3" t="s">
        <v>868</v>
      </c>
      <c r="AD3" t="s">
        <v>870</v>
      </c>
      <c r="AE3" t="s">
        <v>872</v>
      </c>
      <c r="AF3" t="s">
        <v>874</v>
      </c>
      <c r="AG3" t="s">
        <v>876</v>
      </c>
      <c r="AH3" t="s">
        <v>879</v>
      </c>
      <c r="AI3" t="s">
        <v>881</v>
      </c>
      <c r="AJ3" t="s">
        <v>880</v>
      </c>
      <c r="AK3" t="s">
        <v>886</v>
      </c>
      <c r="AL3" t="s">
        <v>880</v>
      </c>
      <c r="AM3" t="s">
        <v>891</v>
      </c>
      <c r="AN3" t="s">
        <v>886</v>
      </c>
      <c r="AO3" t="s">
        <v>894</v>
      </c>
      <c r="AP3" t="s">
        <v>896</v>
      </c>
      <c r="AQ3" t="s">
        <v>898</v>
      </c>
      <c r="AR3" t="s">
        <v>900</v>
      </c>
      <c r="AS3" t="s">
        <v>902</v>
      </c>
      <c r="AT3" t="s">
        <v>904</v>
      </c>
      <c r="AU3" t="s">
        <v>907</v>
      </c>
      <c r="AV3" t="s">
        <v>909</v>
      </c>
      <c r="AW3" t="s">
        <v>911</v>
      </c>
      <c r="AX3" t="s">
        <v>914</v>
      </c>
      <c r="AY3" t="s">
        <v>5</v>
      </c>
      <c r="AZ3" t="s">
        <v>936</v>
      </c>
      <c r="BA3" t="s">
        <v>1121</v>
      </c>
      <c r="BB3" t="s">
        <v>7</v>
      </c>
      <c r="BC3" t="s">
        <v>1166</v>
      </c>
      <c r="BD3" t="s">
        <v>1169</v>
      </c>
      <c r="BE3" t="s">
        <v>1173</v>
      </c>
      <c r="BF3" t="s">
        <v>1176</v>
      </c>
      <c r="BG3" t="s">
        <v>1179</v>
      </c>
      <c r="BH3" t="s">
        <v>1182</v>
      </c>
      <c r="BI3" t="s">
        <v>1185</v>
      </c>
      <c r="BJ3" t="s">
        <v>1188</v>
      </c>
      <c r="BK3" t="s">
        <v>1191</v>
      </c>
      <c r="BL3" t="s">
        <v>1194</v>
      </c>
      <c r="BM3" t="s">
        <v>1202</v>
      </c>
      <c r="BN3" t="s">
        <v>1206</v>
      </c>
      <c r="BO3" t="s">
        <v>1209</v>
      </c>
      <c r="BP3" t="s">
        <v>1212</v>
      </c>
      <c r="BQ3" t="s">
        <v>1202</v>
      </c>
      <c r="BR3" t="s">
        <v>1217</v>
      </c>
      <c r="BS3" t="s">
        <v>1220</v>
      </c>
      <c r="BT3" t="s">
        <v>1232</v>
      </c>
      <c r="BU3" t="s">
        <v>1236</v>
      </c>
      <c r="BV3" t="s">
        <v>1236</v>
      </c>
      <c r="BW3" t="s">
        <v>53</v>
      </c>
      <c r="BX3" t="s">
        <v>53</v>
      </c>
      <c r="BY3" t="s">
        <v>5</v>
      </c>
      <c r="BZ3" t="s">
        <v>5</v>
      </c>
      <c r="CA3" t="s">
        <v>462</v>
      </c>
      <c r="CB3" t="s">
        <v>462</v>
      </c>
      <c r="CC3" t="s">
        <v>1276</v>
      </c>
      <c r="CD3" t="s">
        <v>1265</v>
      </c>
      <c r="CE3" t="s">
        <v>1284</v>
      </c>
      <c r="CF3" t="s">
        <v>1290</v>
      </c>
      <c r="CG3" t="s">
        <v>1296</v>
      </c>
      <c r="CH3" t="s">
        <v>5</v>
      </c>
      <c r="CI3" t="s">
        <v>4</v>
      </c>
      <c r="CJ3" t="s">
        <v>2284</v>
      </c>
      <c r="CK3" t="s">
        <v>2290</v>
      </c>
      <c r="CL3" t="s">
        <v>2301</v>
      </c>
      <c r="CM3" t="s">
        <v>2305</v>
      </c>
      <c r="CN3" t="s">
        <v>2361</v>
      </c>
      <c r="CO3" t="s">
        <v>2373</v>
      </c>
      <c r="CP3" t="s">
        <v>5</v>
      </c>
      <c r="CQ3" t="s">
        <v>2393</v>
      </c>
      <c r="CR3" t="s">
        <v>2373</v>
      </c>
      <c r="CS3" t="s">
        <v>2400</v>
      </c>
      <c r="CT3" t="s">
        <v>2416</v>
      </c>
      <c r="CU3" t="s">
        <v>2420</v>
      </c>
      <c r="CV3" t="s">
        <v>2427</v>
      </c>
      <c r="CW3" t="s">
        <v>2434</v>
      </c>
      <c r="CX3" t="s">
        <v>2437</v>
      </c>
      <c r="CY3" t="s">
        <v>2440</v>
      </c>
      <c r="CZ3" t="s">
        <v>2443</v>
      </c>
      <c r="DA3" t="s">
        <v>2448</v>
      </c>
      <c r="DB3" t="s">
        <v>2455</v>
      </c>
      <c r="DC3" t="s">
        <v>2305</v>
      </c>
      <c r="DD3" t="s">
        <v>2361</v>
      </c>
      <c r="DE3" t="s">
        <v>2460</v>
      </c>
      <c r="DF3" t="s">
        <v>2468</v>
      </c>
      <c r="DG3" t="s">
        <v>2373</v>
      </c>
      <c r="DH3" t="s">
        <v>2476</v>
      </c>
      <c r="DI3" t="s">
        <v>2373</v>
      </c>
      <c r="DJ3" t="s">
        <v>1264</v>
      </c>
      <c r="DK3" t="s">
        <v>2485</v>
      </c>
      <c r="DL3" t="s">
        <v>2490</v>
      </c>
      <c r="DM3" t="s">
        <v>2494</v>
      </c>
      <c r="DN3" t="s">
        <v>2497</v>
      </c>
      <c r="DO3" t="s">
        <v>2502</v>
      </c>
      <c r="DP3" t="s">
        <v>2507</v>
      </c>
      <c r="DQ3" t="s">
        <v>2512</v>
      </c>
      <c r="DR3" t="s">
        <v>2517</v>
      </c>
      <c r="DS3" t="s">
        <v>2517</v>
      </c>
      <c r="DT3" t="s">
        <v>2530</v>
      </c>
      <c r="DU3" t="s">
        <v>2530</v>
      </c>
      <c r="DV3" t="s">
        <v>2533</v>
      </c>
      <c r="DW3" t="s">
        <v>2533</v>
      </c>
      <c r="DX3" t="s">
        <v>1236</v>
      </c>
      <c r="DY3" t="s">
        <v>1236</v>
      </c>
      <c r="DZ3" t="s">
        <v>2537</v>
      </c>
      <c r="EA3" t="s">
        <v>2543</v>
      </c>
      <c r="EB3" t="s">
        <v>2543</v>
      </c>
      <c r="EC3" t="s">
        <v>2546</v>
      </c>
      <c r="ED3" t="s">
        <v>2552</v>
      </c>
      <c r="EE3" t="s">
        <v>2555</v>
      </c>
      <c r="EF3" t="s">
        <v>2555</v>
      </c>
      <c r="EG3" t="s">
        <v>2558</v>
      </c>
      <c r="EH3" t="s">
        <v>2563</v>
      </c>
      <c r="EI3" t="s">
        <v>2567</v>
      </c>
      <c r="EJ3" t="s">
        <v>2572</v>
      </c>
      <c r="EK3" t="s">
        <v>2572</v>
      </c>
      <c r="EL3" t="s">
        <v>2577</v>
      </c>
      <c r="EM3" t="s">
        <v>2572</v>
      </c>
      <c r="EN3" t="s">
        <v>2572</v>
      </c>
      <c r="EO3" t="s">
        <v>2583</v>
      </c>
      <c r="EP3" t="s">
        <v>462</v>
      </c>
      <c r="EQ3" t="s">
        <v>462</v>
      </c>
      <c r="ER3" t="s">
        <v>2572</v>
      </c>
      <c r="ES3" t="s">
        <v>2517</v>
      </c>
      <c r="ET3" t="s">
        <v>2517</v>
      </c>
      <c r="EU3" t="s">
        <v>1236</v>
      </c>
      <c r="EV3" t="s">
        <v>1236</v>
      </c>
      <c r="EW3" t="s">
        <v>2592</v>
      </c>
      <c r="EX3" t="s">
        <v>2596</v>
      </c>
      <c r="EY3" t="s">
        <v>2599</v>
      </c>
      <c r="EZ3" t="s">
        <v>1236</v>
      </c>
      <c r="FA3" t="s">
        <v>1236</v>
      </c>
      <c r="FB3" t="s">
        <v>2612</v>
      </c>
      <c r="FC3" t="s">
        <v>2627</v>
      </c>
      <c r="FD3" t="s">
        <v>2630</v>
      </c>
      <c r="FE3" t="s">
        <v>2635</v>
      </c>
      <c r="FF3" t="s">
        <v>2641</v>
      </c>
      <c r="FG3" t="s">
        <v>2644</v>
      </c>
      <c r="FH3" t="s">
        <v>2650</v>
      </c>
      <c r="FI3" t="s">
        <v>2654</v>
      </c>
      <c r="FJ3" t="s">
        <v>2656</v>
      </c>
      <c r="FK3" t="s">
        <v>2663</v>
      </c>
      <c r="FL3" t="s">
        <v>2666</v>
      </c>
      <c r="FM3" t="s">
        <v>5</v>
      </c>
      <c r="FN3" t="s">
        <v>2673</v>
      </c>
      <c r="FO3" t="s">
        <v>2678</v>
      </c>
      <c r="FP3" t="s">
        <v>2387</v>
      </c>
      <c r="FQ3" t="s">
        <v>1236</v>
      </c>
      <c r="FR3" t="s">
        <v>1236</v>
      </c>
      <c r="FS3" t="s">
        <v>2612</v>
      </c>
      <c r="FT3" t="s">
        <v>2699</v>
      </c>
      <c r="FU3" t="s">
        <v>2704</v>
      </c>
      <c r="FV3" t="s">
        <v>2704</v>
      </c>
      <c r="FW3" t="s">
        <v>819</v>
      </c>
      <c r="FX3" t="s">
        <v>2708</v>
      </c>
      <c r="FY3" t="s">
        <v>2710</v>
      </c>
      <c r="FZ3" t="s">
        <v>2712</v>
      </c>
      <c r="GA3" t="s">
        <v>2704</v>
      </c>
      <c r="GB3" t="s">
        <v>2704</v>
      </c>
      <c r="GC3" t="s">
        <v>819</v>
      </c>
      <c r="GD3" t="s">
        <v>2719</v>
      </c>
      <c r="GE3" t="s">
        <v>824</v>
      </c>
      <c r="GF3" t="s">
        <v>2719</v>
      </c>
      <c r="GG3" t="s">
        <v>2719</v>
      </c>
      <c r="GH3" t="s">
        <v>844</v>
      </c>
      <c r="GI3" t="s">
        <v>846</v>
      </c>
      <c r="GJ3" t="s">
        <v>848</v>
      </c>
      <c r="GK3" t="s">
        <v>851</v>
      </c>
      <c r="GL3" t="s">
        <v>853</v>
      </c>
      <c r="GM3" t="s">
        <v>2717</v>
      </c>
      <c r="GN3" t="s">
        <v>879</v>
      </c>
      <c r="GO3" t="s">
        <v>881</v>
      </c>
      <c r="GP3" t="s">
        <v>880</v>
      </c>
      <c r="GQ3" t="s">
        <v>886</v>
      </c>
      <c r="GR3" t="s">
        <v>880</v>
      </c>
      <c r="GS3" t="s">
        <v>891</v>
      </c>
      <c r="GT3" t="s">
        <v>886</v>
      </c>
      <c r="GU3" t="s">
        <v>2737</v>
      </c>
      <c r="GV3" t="s">
        <v>904</v>
      </c>
      <c r="GW3" t="s">
        <v>907</v>
      </c>
      <c r="GX3" t="s">
        <v>909</v>
      </c>
      <c r="GY3" t="s">
        <v>911</v>
      </c>
      <c r="GZ3" t="s">
        <v>2743</v>
      </c>
      <c r="HA3" t="s">
        <v>2746</v>
      </c>
      <c r="HB3" t="s">
        <v>1121</v>
      </c>
      <c r="HC3" t="s">
        <v>2750</v>
      </c>
      <c r="HD3" t="s">
        <v>2753</v>
      </c>
      <c r="HE3" t="s">
        <v>2756</v>
      </c>
      <c r="HF3" t="s">
        <v>2305</v>
      </c>
      <c r="HG3" t="s">
        <v>2305</v>
      </c>
      <c r="HH3" t="s">
        <v>914</v>
      </c>
      <c r="HI3" t="s">
        <v>2781</v>
      </c>
      <c r="HJ3" t="s">
        <v>2784</v>
      </c>
      <c r="HK3" t="s">
        <v>2787</v>
      </c>
      <c r="HL3" t="s">
        <v>2792</v>
      </c>
      <c r="HM3" t="s">
        <v>2802</v>
      </c>
      <c r="HN3" t="s">
        <v>2802</v>
      </c>
      <c r="HO3" t="s">
        <v>2805</v>
      </c>
      <c r="HP3" t="s">
        <v>2808</v>
      </c>
      <c r="HQ3" t="s">
        <v>2811</v>
      </c>
      <c r="HR3" t="s">
        <v>2753</v>
      </c>
      <c r="HS3" t="s">
        <v>2816</v>
      </c>
      <c r="HT3" t="s">
        <v>819</v>
      </c>
      <c r="HU3" t="s">
        <v>2827</v>
      </c>
      <c r="HV3" t="s">
        <v>2827</v>
      </c>
      <c r="HW3" t="s">
        <v>2827</v>
      </c>
      <c r="HX3" t="s">
        <v>844</v>
      </c>
      <c r="HY3" t="s">
        <v>846</v>
      </c>
      <c r="HZ3" t="s">
        <v>848</v>
      </c>
      <c r="IA3" t="s">
        <v>851</v>
      </c>
      <c r="IB3" t="s">
        <v>853</v>
      </c>
      <c r="IC3" t="s">
        <v>855</v>
      </c>
      <c r="ID3" t="s">
        <v>863</v>
      </c>
      <c r="IE3" t="s">
        <v>914</v>
      </c>
      <c r="IF3" t="s">
        <v>2554</v>
      </c>
      <c r="IG3" t="s">
        <v>2841</v>
      </c>
      <c r="IH3" t="s">
        <v>2844</v>
      </c>
      <c r="II3" t="s">
        <v>2846</v>
      </c>
      <c r="IJ3" t="s">
        <v>2719</v>
      </c>
      <c r="IK3" t="s">
        <v>900</v>
      </c>
      <c r="IL3" t="s">
        <v>2850</v>
      </c>
      <c r="IM3" t="s">
        <v>900</v>
      </c>
      <c r="IN3" t="s">
        <v>2854</v>
      </c>
      <c r="IO3" t="s">
        <v>2866</v>
      </c>
      <c r="IP3" t="s">
        <v>900</v>
      </c>
      <c r="IQ3" t="s">
        <v>2872</v>
      </c>
      <c r="IR3" t="s">
        <v>2875</v>
      </c>
    </row>
    <row r="4" spans="1:340">
      <c r="B4" t="s">
        <v>820</v>
      </c>
      <c r="C4" t="s">
        <v>820</v>
      </c>
      <c r="D4" t="s">
        <v>820</v>
      </c>
      <c r="E4" t="s">
        <v>820</v>
      </c>
      <c r="F4" t="s">
        <v>820</v>
      </c>
      <c r="G4" t="s">
        <v>820</v>
      </c>
      <c r="H4" t="s">
        <v>820</v>
      </c>
      <c r="I4" t="s">
        <v>835</v>
      </c>
      <c r="J4" t="s">
        <v>820</v>
      </c>
      <c r="K4" t="s">
        <v>820</v>
      </c>
      <c r="L4" t="s">
        <v>840</v>
      </c>
      <c r="M4" t="s">
        <v>842</v>
      </c>
      <c r="N4" t="s">
        <v>824</v>
      </c>
      <c r="O4" t="s">
        <v>824</v>
      </c>
      <c r="P4" t="s">
        <v>822</v>
      </c>
      <c r="R4" t="s">
        <v>824</v>
      </c>
      <c r="S4" t="s">
        <v>822</v>
      </c>
      <c r="T4" t="s">
        <v>822</v>
      </c>
      <c r="U4" t="s">
        <v>824</v>
      </c>
      <c r="V4" t="s">
        <v>820</v>
      </c>
      <c r="W4" t="s">
        <v>835</v>
      </c>
      <c r="X4" t="s">
        <v>820</v>
      </c>
      <c r="Y4" t="s">
        <v>822</v>
      </c>
      <c r="Z4" t="s">
        <v>824</v>
      </c>
      <c r="AA4" t="s">
        <v>820</v>
      </c>
      <c r="AB4" t="s">
        <v>835</v>
      </c>
      <c r="AC4" t="s">
        <v>820</v>
      </c>
      <c r="AD4" t="s">
        <v>820</v>
      </c>
      <c r="AE4" t="s">
        <v>820</v>
      </c>
      <c r="AG4" t="s">
        <v>820</v>
      </c>
      <c r="AH4" t="s">
        <v>880</v>
      </c>
      <c r="AI4" t="s">
        <v>883</v>
      </c>
      <c r="AJ4" t="s">
        <v>883</v>
      </c>
      <c r="AK4" t="s">
        <v>880</v>
      </c>
      <c r="AL4" t="s">
        <v>881</v>
      </c>
      <c r="AM4" t="s">
        <v>880</v>
      </c>
      <c r="AN4" t="s">
        <v>880</v>
      </c>
      <c r="AO4" t="s">
        <v>820</v>
      </c>
      <c r="AP4" t="s">
        <v>820</v>
      </c>
      <c r="AQ4" t="s">
        <v>820</v>
      </c>
      <c r="AR4" t="s">
        <v>820</v>
      </c>
      <c r="AS4" t="s">
        <v>820</v>
      </c>
      <c r="AT4" t="s">
        <v>905</v>
      </c>
      <c r="AU4" t="s">
        <v>905</v>
      </c>
      <c r="AV4" t="s">
        <v>905</v>
      </c>
      <c r="AW4" t="s">
        <v>905</v>
      </c>
      <c r="AX4" t="s">
        <v>915</v>
      </c>
      <c r="AY4" t="s">
        <v>462</v>
      </c>
      <c r="AZ4" t="s">
        <v>937</v>
      </c>
      <c r="BA4" t="s">
        <v>1122</v>
      </c>
      <c r="BB4" t="s">
        <v>11</v>
      </c>
      <c r="BD4" t="s">
        <v>1170</v>
      </c>
      <c r="BL4" t="s">
        <v>1195</v>
      </c>
      <c r="BM4" t="s">
        <v>1203</v>
      </c>
      <c r="BP4" t="s">
        <v>1213</v>
      </c>
      <c r="BS4" t="s">
        <v>1221</v>
      </c>
      <c r="BT4" t="s">
        <v>1233</v>
      </c>
      <c r="BU4" t="s">
        <v>1237</v>
      </c>
      <c r="BV4" t="s">
        <v>1237</v>
      </c>
      <c r="BW4" t="s">
        <v>75</v>
      </c>
      <c r="BX4" t="s">
        <v>75</v>
      </c>
      <c r="BY4" t="s">
        <v>462</v>
      </c>
      <c r="BZ4" t="s">
        <v>462</v>
      </c>
      <c r="CA4" t="s">
        <v>9</v>
      </c>
      <c r="CB4" t="s">
        <v>9</v>
      </c>
      <c r="CC4" t="s">
        <v>1201</v>
      </c>
      <c r="CD4" t="s">
        <v>1281</v>
      </c>
      <c r="CE4" t="s">
        <v>1285</v>
      </c>
      <c r="CF4" t="s">
        <v>1291</v>
      </c>
      <c r="CG4" t="s">
        <v>1297</v>
      </c>
      <c r="CH4" t="s">
        <v>462</v>
      </c>
      <c r="CI4" t="s">
        <v>7</v>
      </c>
      <c r="CJ4" t="s">
        <v>2285</v>
      </c>
      <c r="CK4" t="s">
        <v>2291</v>
      </c>
      <c r="CL4" t="s">
        <v>2302</v>
      </c>
      <c r="CM4" t="s">
        <v>2306</v>
      </c>
      <c r="CN4" t="s">
        <v>2362</v>
      </c>
      <c r="CO4" t="s">
        <v>2374</v>
      </c>
      <c r="CP4" t="s">
        <v>462</v>
      </c>
      <c r="CQ4" t="s">
        <v>2394</v>
      </c>
      <c r="CR4" t="s">
        <v>2396</v>
      </c>
      <c r="CS4" t="s">
        <v>2401</v>
      </c>
      <c r="CT4" t="s">
        <v>2417</v>
      </c>
      <c r="CU4" t="s">
        <v>2421</v>
      </c>
      <c r="CV4" t="s">
        <v>2428</v>
      </c>
      <c r="CY4" t="s">
        <v>2397</v>
      </c>
      <c r="CZ4" t="s">
        <v>2444</v>
      </c>
      <c r="DA4" t="s">
        <v>2449</v>
      </c>
      <c r="DB4" t="s">
        <v>1291</v>
      </c>
      <c r="DC4" t="s">
        <v>2306</v>
      </c>
      <c r="DD4" t="s">
        <v>2362</v>
      </c>
      <c r="DE4" t="s">
        <v>2461</v>
      </c>
      <c r="DF4" t="s">
        <v>2469</v>
      </c>
      <c r="DG4" t="s">
        <v>2396</v>
      </c>
      <c r="DH4" t="s">
        <v>2477</v>
      </c>
      <c r="DI4" t="s">
        <v>2480</v>
      </c>
      <c r="DJ4" t="s">
        <v>1265</v>
      </c>
      <c r="DK4" t="s">
        <v>2486</v>
      </c>
      <c r="DL4" t="s">
        <v>2491</v>
      </c>
      <c r="DM4" t="s">
        <v>2495</v>
      </c>
      <c r="DN4" t="s">
        <v>2498</v>
      </c>
      <c r="DO4" t="s">
        <v>2503</v>
      </c>
      <c r="DP4" t="s">
        <v>2508</v>
      </c>
      <c r="DQ4" t="s">
        <v>2513</v>
      </c>
      <c r="DR4" t="s">
        <v>2518</v>
      </c>
      <c r="DS4" t="s">
        <v>2518</v>
      </c>
      <c r="DX4" t="s">
        <v>1237</v>
      </c>
      <c r="DY4" t="s">
        <v>1237</v>
      </c>
      <c r="DZ4" t="s">
        <v>2538</v>
      </c>
      <c r="EC4" t="s">
        <v>2547</v>
      </c>
      <c r="EG4" t="s">
        <v>2559</v>
      </c>
      <c r="EH4" t="s">
        <v>2564</v>
      </c>
      <c r="EI4" t="s">
        <v>2568</v>
      </c>
      <c r="EO4" t="s">
        <v>2584</v>
      </c>
      <c r="EP4" t="s">
        <v>9</v>
      </c>
      <c r="EQ4" t="s">
        <v>9</v>
      </c>
      <c r="ES4" t="s">
        <v>2518</v>
      </c>
      <c r="ET4" t="s">
        <v>2518</v>
      </c>
      <c r="EU4" t="s">
        <v>1237</v>
      </c>
      <c r="EV4" t="s">
        <v>1237</v>
      </c>
      <c r="EW4" t="s">
        <v>2593</v>
      </c>
      <c r="EY4" t="s">
        <v>2600</v>
      </c>
      <c r="EZ4" t="s">
        <v>1237</v>
      </c>
      <c r="FA4" t="s">
        <v>1237</v>
      </c>
      <c r="FB4" t="s">
        <v>2613</v>
      </c>
      <c r="FD4" t="s">
        <v>2631</v>
      </c>
      <c r="FE4" t="s">
        <v>2636</v>
      </c>
      <c r="FG4" t="s">
        <v>2645</v>
      </c>
      <c r="FH4" t="s">
        <v>2651</v>
      </c>
      <c r="FJ4" t="s">
        <v>2657</v>
      </c>
      <c r="FL4" t="s">
        <v>2667</v>
      </c>
      <c r="FM4" t="s">
        <v>462</v>
      </c>
      <c r="FN4" t="s">
        <v>2674</v>
      </c>
      <c r="FO4" t="s">
        <v>2679</v>
      </c>
      <c r="FP4" t="s">
        <v>2684</v>
      </c>
      <c r="FQ4" t="s">
        <v>1237</v>
      </c>
      <c r="FR4" t="s">
        <v>1237</v>
      </c>
      <c r="FS4" t="s">
        <v>2613</v>
      </c>
      <c r="FT4" t="s">
        <v>2700</v>
      </c>
      <c r="FW4" t="s">
        <v>2706</v>
      </c>
      <c r="FX4" t="s">
        <v>820</v>
      </c>
      <c r="FY4" t="s">
        <v>820</v>
      </c>
      <c r="FZ4" t="s">
        <v>2713</v>
      </c>
      <c r="GC4" t="s">
        <v>2717</v>
      </c>
      <c r="GD4" t="s">
        <v>2717</v>
      </c>
      <c r="GE4" t="s">
        <v>2717</v>
      </c>
      <c r="GF4" t="s">
        <v>820</v>
      </c>
      <c r="GG4" t="s">
        <v>842</v>
      </c>
      <c r="GH4" t="s">
        <v>824</v>
      </c>
      <c r="GI4" t="s">
        <v>824</v>
      </c>
      <c r="GJ4" t="s">
        <v>2719</v>
      </c>
      <c r="GK4" t="s">
        <v>824</v>
      </c>
      <c r="GL4" t="s">
        <v>2719</v>
      </c>
      <c r="GM4" t="s">
        <v>820</v>
      </c>
      <c r="GN4" t="s">
        <v>880</v>
      </c>
      <c r="GO4" t="s">
        <v>883</v>
      </c>
      <c r="GP4" t="s">
        <v>883</v>
      </c>
      <c r="GQ4" t="s">
        <v>880</v>
      </c>
      <c r="GR4" t="s">
        <v>881</v>
      </c>
      <c r="GS4" t="s">
        <v>880</v>
      </c>
      <c r="GT4" t="s">
        <v>880</v>
      </c>
      <c r="GU4" t="s">
        <v>820</v>
      </c>
      <c r="GV4" t="s">
        <v>820</v>
      </c>
      <c r="GW4" t="s">
        <v>820</v>
      </c>
      <c r="GX4" t="s">
        <v>820</v>
      </c>
      <c r="GY4" t="s">
        <v>820</v>
      </c>
      <c r="GZ4" t="s">
        <v>820</v>
      </c>
      <c r="HB4" t="s">
        <v>1123</v>
      </c>
      <c r="HD4" t="s">
        <v>2754</v>
      </c>
      <c r="HE4" t="s">
        <v>2757</v>
      </c>
      <c r="HF4" t="s">
        <v>2306</v>
      </c>
      <c r="HG4" t="s">
        <v>2306</v>
      </c>
      <c r="HH4" t="s">
        <v>917</v>
      </c>
      <c r="HK4" t="s">
        <v>2788</v>
      </c>
      <c r="HL4" t="s">
        <v>2793</v>
      </c>
      <c r="HM4" t="s">
        <v>2703</v>
      </c>
      <c r="HN4" t="s">
        <v>2703</v>
      </c>
      <c r="HQ4" t="s">
        <v>2812</v>
      </c>
      <c r="HS4" t="s">
        <v>2817</v>
      </c>
      <c r="HT4" t="s">
        <v>2717</v>
      </c>
      <c r="HU4" t="s">
        <v>820</v>
      </c>
      <c r="HV4" t="s">
        <v>820</v>
      </c>
      <c r="HW4" t="s">
        <v>842</v>
      </c>
      <c r="HX4" t="s">
        <v>824</v>
      </c>
      <c r="HY4" t="s">
        <v>824</v>
      </c>
      <c r="HZ4" t="s">
        <v>2827</v>
      </c>
      <c r="IA4" t="s">
        <v>824</v>
      </c>
      <c r="IB4" t="s">
        <v>2827</v>
      </c>
      <c r="IC4" t="s">
        <v>2827</v>
      </c>
      <c r="ID4" t="s">
        <v>2827</v>
      </c>
      <c r="IE4" t="s">
        <v>915</v>
      </c>
      <c r="II4" t="s">
        <v>820</v>
      </c>
      <c r="IJ4" t="s">
        <v>820</v>
      </c>
      <c r="IK4" t="s">
        <v>822</v>
      </c>
      <c r="IL4" t="s">
        <v>820</v>
      </c>
      <c r="IM4" t="s">
        <v>824</v>
      </c>
      <c r="IN4" t="s">
        <v>2855</v>
      </c>
      <c r="IO4" t="s">
        <v>2867</v>
      </c>
      <c r="IP4" t="s">
        <v>2827</v>
      </c>
    </row>
    <row r="5" spans="1:340">
      <c r="I5" t="s">
        <v>820</v>
      </c>
      <c r="L5" t="s">
        <v>820</v>
      </c>
      <c r="M5" t="s">
        <v>820</v>
      </c>
      <c r="N5" t="s">
        <v>822</v>
      </c>
      <c r="O5" t="s">
        <v>822</v>
      </c>
      <c r="P5" t="s">
        <v>842</v>
      </c>
      <c r="R5" t="s">
        <v>822</v>
      </c>
      <c r="S5" t="s">
        <v>820</v>
      </c>
      <c r="T5" t="s">
        <v>820</v>
      </c>
      <c r="U5" t="s">
        <v>820</v>
      </c>
      <c r="W5" t="s">
        <v>820</v>
      </c>
      <c r="Y5" t="s">
        <v>820</v>
      </c>
      <c r="Z5" t="s">
        <v>835</v>
      </c>
      <c r="AB5" t="s">
        <v>820</v>
      </c>
      <c r="AH5" t="s">
        <v>881</v>
      </c>
      <c r="AI5" t="s">
        <v>820</v>
      </c>
      <c r="AJ5" t="s">
        <v>820</v>
      </c>
      <c r="AK5" t="s">
        <v>881</v>
      </c>
      <c r="AL5" t="s">
        <v>887</v>
      </c>
      <c r="AM5" t="s">
        <v>881</v>
      </c>
      <c r="AN5" t="s">
        <v>881</v>
      </c>
      <c r="AT5" t="s">
        <v>820</v>
      </c>
      <c r="AU5" t="s">
        <v>820</v>
      </c>
      <c r="AV5" t="s">
        <v>820</v>
      </c>
      <c r="AW5" t="s">
        <v>820</v>
      </c>
      <c r="AX5" t="s">
        <v>916</v>
      </c>
      <c r="AY5" t="s">
        <v>9</v>
      </c>
      <c r="AZ5" t="s">
        <v>938</v>
      </c>
      <c r="BA5" t="s">
        <v>1123</v>
      </c>
      <c r="BB5" t="s">
        <v>14</v>
      </c>
      <c r="BL5" t="s">
        <v>1196</v>
      </c>
      <c r="BS5" t="s">
        <v>1222</v>
      </c>
      <c r="BU5" t="s">
        <v>1238</v>
      </c>
      <c r="BV5" t="s">
        <v>1238</v>
      </c>
      <c r="BW5" t="s">
        <v>98</v>
      </c>
      <c r="BX5" t="s">
        <v>98</v>
      </c>
      <c r="BY5" t="s">
        <v>9</v>
      </c>
      <c r="BZ5" t="s">
        <v>9</v>
      </c>
      <c r="CA5" t="s">
        <v>12</v>
      </c>
      <c r="CB5" t="s">
        <v>12</v>
      </c>
      <c r="CC5" t="s">
        <v>1277</v>
      </c>
      <c r="CE5" t="s">
        <v>1286</v>
      </c>
      <c r="CF5" t="s">
        <v>1292</v>
      </c>
      <c r="CG5" t="s">
        <v>1298</v>
      </c>
      <c r="CH5" t="s">
        <v>9</v>
      </c>
      <c r="CI5" t="s">
        <v>11</v>
      </c>
      <c r="CJ5" t="s">
        <v>2286</v>
      </c>
      <c r="CK5" t="s">
        <v>2292</v>
      </c>
      <c r="CM5" t="s">
        <v>2307</v>
      </c>
      <c r="CN5" t="s">
        <v>2363</v>
      </c>
      <c r="CO5" t="s">
        <v>2375</v>
      </c>
      <c r="CP5" t="s">
        <v>9</v>
      </c>
      <c r="CR5" t="s">
        <v>2376</v>
      </c>
      <c r="CS5" t="s">
        <v>2402</v>
      </c>
      <c r="CU5" t="s">
        <v>2422</v>
      </c>
      <c r="CV5" t="s">
        <v>2429</v>
      </c>
      <c r="CZ5" t="s">
        <v>2445</v>
      </c>
      <c r="DA5" t="s">
        <v>2450</v>
      </c>
      <c r="DB5" t="s">
        <v>1294</v>
      </c>
      <c r="DC5" t="s">
        <v>2307</v>
      </c>
      <c r="DD5" t="s">
        <v>2364</v>
      </c>
      <c r="DE5" t="s">
        <v>2462</v>
      </c>
      <c r="DF5" t="s">
        <v>2470</v>
      </c>
      <c r="DG5" t="s">
        <v>2376</v>
      </c>
      <c r="DH5" t="s">
        <v>2478</v>
      </c>
      <c r="DI5" t="s">
        <v>2376</v>
      </c>
      <c r="DJ5" t="s">
        <v>1266</v>
      </c>
      <c r="DK5" t="s">
        <v>2487</v>
      </c>
      <c r="DM5" t="s">
        <v>2425</v>
      </c>
      <c r="DN5" t="s">
        <v>2499</v>
      </c>
      <c r="DO5" t="s">
        <v>2504</v>
      </c>
      <c r="DP5" t="s">
        <v>2509</v>
      </c>
      <c r="DQ5" t="s">
        <v>2514</v>
      </c>
      <c r="DR5" t="s">
        <v>2519</v>
      </c>
      <c r="DS5" t="s">
        <v>2519</v>
      </c>
      <c r="DX5" t="s">
        <v>1238</v>
      </c>
      <c r="DY5" t="s">
        <v>1238</v>
      </c>
      <c r="DZ5" t="s">
        <v>2539</v>
      </c>
      <c r="EC5" t="s">
        <v>2548</v>
      </c>
      <c r="EG5" t="s">
        <v>2560</v>
      </c>
      <c r="EI5" t="s">
        <v>2569</v>
      </c>
      <c r="EP5" t="s">
        <v>12</v>
      </c>
      <c r="EQ5" t="s">
        <v>12</v>
      </c>
      <c r="ES5" t="s">
        <v>2519</v>
      </c>
      <c r="ET5" t="s">
        <v>2519</v>
      </c>
      <c r="EU5" t="s">
        <v>1238</v>
      </c>
      <c r="EV5" t="s">
        <v>1238</v>
      </c>
      <c r="EY5" t="s">
        <v>2601</v>
      </c>
      <c r="EZ5" t="s">
        <v>1238</v>
      </c>
      <c r="FA5" t="s">
        <v>1238</v>
      </c>
      <c r="FB5" t="s">
        <v>2614</v>
      </c>
      <c r="FD5" t="s">
        <v>2632</v>
      </c>
      <c r="FE5" t="s">
        <v>2637</v>
      </c>
      <c r="FG5" t="s">
        <v>2646</v>
      </c>
      <c r="FJ5" t="s">
        <v>2658</v>
      </c>
      <c r="FL5" t="s">
        <v>2668</v>
      </c>
      <c r="FM5" t="s">
        <v>9</v>
      </c>
      <c r="FN5" t="s">
        <v>2675</v>
      </c>
      <c r="FO5" t="s">
        <v>2680</v>
      </c>
      <c r="FP5" t="s">
        <v>2685</v>
      </c>
      <c r="FQ5" t="s">
        <v>1238</v>
      </c>
      <c r="FR5" t="s">
        <v>1238</v>
      </c>
      <c r="FS5" t="s">
        <v>2614</v>
      </c>
      <c r="FT5" t="s">
        <v>2701</v>
      </c>
      <c r="FW5" t="s">
        <v>820</v>
      </c>
      <c r="FZ5" t="s">
        <v>820</v>
      </c>
      <c r="GC5" t="s">
        <v>820</v>
      </c>
      <c r="GD5" t="s">
        <v>820</v>
      </c>
      <c r="GE5" t="s">
        <v>820</v>
      </c>
      <c r="GG5" t="s">
        <v>820</v>
      </c>
      <c r="GH5" t="s">
        <v>2719</v>
      </c>
      <c r="GI5" t="s">
        <v>2719</v>
      </c>
      <c r="GJ5" t="s">
        <v>842</v>
      </c>
      <c r="GK5" t="s">
        <v>2719</v>
      </c>
      <c r="GL5" t="s">
        <v>820</v>
      </c>
      <c r="GN5" t="s">
        <v>881</v>
      </c>
      <c r="GO5" t="s">
        <v>2717</v>
      </c>
      <c r="GP5" t="s">
        <v>2717</v>
      </c>
      <c r="GQ5" t="s">
        <v>881</v>
      </c>
      <c r="GR5" t="s">
        <v>887</v>
      </c>
      <c r="GS5" t="s">
        <v>881</v>
      </c>
      <c r="GT5" t="s">
        <v>881</v>
      </c>
      <c r="HE5" t="s">
        <v>2758</v>
      </c>
      <c r="HF5" t="s">
        <v>2307</v>
      </c>
      <c r="HG5" t="s">
        <v>2307</v>
      </c>
      <c r="HH5" t="s">
        <v>2767</v>
      </c>
      <c r="HK5" t="s">
        <v>2789</v>
      </c>
      <c r="HL5" t="s">
        <v>2794</v>
      </c>
      <c r="HM5" t="s">
        <v>2704</v>
      </c>
      <c r="HN5" t="s">
        <v>2704</v>
      </c>
      <c r="HS5" t="s">
        <v>2818</v>
      </c>
      <c r="HT5" t="s">
        <v>2706</v>
      </c>
      <c r="HW5" t="s">
        <v>820</v>
      </c>
      <c r="HX5" t="s">
        <v>2827</v>
      </c>
      <c r="HY5" t="s">
        <v>2827</v>
      </c>
      <c r="HZ5" t="s">
        <v>842</v>
      </c>
      <c r="IA5" t="s">
        <v>2827</v>
      </c>
      <c r="IB5" t="s">
        <v>820</v>
      </c>
      <c r="IC5" t="s">
        <v>820</v>
      </c>
      <c r="ID5" t="s">
        <v>820</v>
      </c>
      <c r="IE5" t="s">
        <v>916</v>
      </c>
      <c r="IK5" t="s">
        <v>842</v>
      </c>
      <c r="IM5" t="s">
        <v>820</v>
      </c>
      <c r="IN5" t="s">
        <v>2856</v>
      </c>
      <c r="IO5" t="s">
        <v>2868</v>
      </c>
      <c r="IP5" t="s">
        <v>842</v>
      </c>
    </row>
    <row r="6" spans="1:340">
      <c r="N6" t="s">
        <v>842</v>
      </c>
      <c r="O6" t="s">
        <v>820</v>
      </c>
      <c r="P6" t="s">
        <v>820</v>
      </c>
      <c r="R6" t="s">
        <v>820</v>
      </c>
      <c r="Z6" t="s">
        <v>820</v>
      </c>
      <c r="AH6" t="s">
        <v>820</v>
      </c>
      <c r="AK6" t="s">
        <v>887</v>
      </c>
      <c r="AL6" t="s">
        <v>879</v>
      </c>
      <c r="AM6" t="s">
        <v>887</v>
      </c>
      <c r="AN6" t="s">
        <v>887</v>
      </c>
      <c r="AX6" t="s">
        <v>917</v>
      </c>
      <c r="AY6" t="s">
        <v>12</v>
      </c>
      <c r="AZ6" t="s">
        <v>939</v>
      </c>
      <c r="BB6" t="s">
        <v>17</v>
      </c>
      <c r="BL6" t="s">
        <v>1197</v>
      </c>
      <c r="BS6" t="s">
        <v>1223</v>
      </c>
      <c r="BU6" t="s">
        <v>1239</v>
      </c>
      <c r="BV6" t="s">
        <v>1239</v>
      </c>
      <c r="BW6" t="s">
        <v>163</v>
      </c>
      <c r="BX6" t="s">
        <v>163</v>
      </c>
      <c r="BY6" t="s">
        <v>12</v>
      </c>
      <c r="BZ6" t="s">
        <v>12</v>
      </c>
      <c r="CA6" t="s">
        <v>15</v>
      </c>
      <c r="CB6" t="s">
        <v>15</v>
      </c>
      <c r="CC6" t="s">
        <v>1278</v>
      </c>
      <c r="CE6" t="s">
        <v>1287</v>
      </c>
      <c r="CF6" t="s">
        <v>1293</v>
      </c>
      <c r="CG6" t="s">
        <v>1299</v>
      </c>
      <c r="CH6" t="s">
        <v>12</v>
      </c>
      <c r="CI6" t="s">
        <v>14</v>
      </c>
      <c r="CJ6" t="s">
        <v>2287</v>
      </c>
      <c r="CK6" t="s">
        <v>2293</v>
      </c>
      <c r="CM6" t="s">
        <v>2308</v>
      </c>
      <c r="CN6" t="s">
        <v>2364</v>
      </c>
      <c r="CO6" t="s">
        <v>2376</v>
      </c>
      <c r="CP6" t="s">
        <v>12</v>
      </c>
      <c r="CR6" t="s">
        <v>2377</v>
      </c>
      <c r="CS6" t="s">
        <v>2403</v>
      </c>
      <c r="CU6" t="s">
        <v>2423</v>
      </c>
      <c r="CV6" t="s">
        <v>2430</v>
      </c>
      <c r="DA6" t="s">
        <v>2451</v>
      </c>
      <c r="DC6" t="s">
        <v>2308</v>
      </c>
      <c r="DD6" t="s">
        <v>2367</v>
      </c>
      <c r="DE6" t="s">
        <v>2463</v>
      </c>
      <c r="DF6" t="s">
        <v>2471</v>
      </c>
      <c r="DG6" t="s">
        <v>2377</v>
      </c>
      <c r="DI6" t="s">
        <v>2377</v>
      </c>
      <c r="DJ6" t="s">
        <v>1267</v>
      </c>
      <c r="DK6" t="s">
        <v>2488</v>
      </c>
      <c r="DO6" t="s">
        <v>2488</v>
      </c>
      <c r="DR6" t="s">
        <v>2520</v>
      </c>
      <c r="DS6" t="s">
        <v>2520</v>
      </c>
      <c r="DX6" t="s">
        <v>1239</v>
      </c>
      <c r="DY6" t="s">
        <v>1239</v>
      </c>
      <c r="DZ6" t="s">
        <v>2540</v>
      </c>
      <c r="EC6" t="s">
        <v>2549</v>
      </c>
      <c r="EP6" t="s">
        <v>15</v>
      </c>
      <c r="EQ6" t="s">
        <v>15</v>
      </c>
      <c r="ES6" t="s">
        <v>2520</v>
      </c>
      <c r="ET6" t="s">
        <v>2520</v>
      </c>
      <c r="EU6" t="s">
        <v>1239</v>
      </c>
      <c r="EV6" t="s">
        <v>1239</v>
      </c>
      <c r="EY6" t="s">
        <v>2602</v>
      </c>
      <c r="EZ6" t="s">
        <v>1239</v>
      </c>
      <c r="FA6" t="s">
        <v>1239</v>
      </c>
      <c r="FB6" t="s">
        <v>2615</v>
      </c>
      <c r="FD6" t="s">
        <v>1231</v>
      </c>
      <c r="FE6" t="s">
        <v>2638</v>
      </c>
      <c r="FG6" t="s">
        <v>2647</v>
      </c>
      <c r="FJ6" t="s">
        <v>2659</v>
      </c>
      <c r="FL6" t="s">
        <v>2669</v>
      </c>
      <c r="FM6" t="s">
        <v>12</v>
      </c>
      <c r="FO6" t="s">
        <v>2681</v>
      </c>
      <c r="FP6" t="s">
        <v>2686</v>
      </c>
      <c r="FQ6" t="s">
        <v>1239</v>
      </c>
      <c r="FR6" t="s">
        <v>1239</v>
      </c>
      <c r="FS6" t="s">
        <v>2615</v>
      </c>
      <c r="GH6" t="s">
        <v>842</v>
      </c>
      <c r="GI6" t="s">
        <v>820</v>
      </c>
      <c r="GJ6" t="s">
        <v>820</v>
      </c>
      <c r="GK6" t="s">
        <v>820</v>
      </c>
      <c r="GN6" t="s">
        <v>2717</v>
      </c>
      <c r="GO6" t="s">
        <v>820</v>
      </c>
      <c r="GP6" t="s">
        <v>820</v>
      </c>
      <c r="GQ6" t="s">
        <v>887</v>
      </c>
      <c r="GR6" t="s">
        <v>2717</v>
      </c>
      <c r="GS6" t="s">
        <v>887</v>
      </c>
      <c r="GT6" t="s">
        <v>887</v>
      </c>
      <c r="HE6" t="s">
        <v>2759</v>
      </c>
      <c r="HF6" t="s">
        <v>2308</v>
      </c>
      <c r="HG6" t="s">
        <v>2308</v>
      </c>
      <c r="HH6" t="s">
        <v>2768</v>
      </c>
      <c r="HL6" t="s">
        <v>2795</v>
      </c>
      <c r="HS6" t="s">
        <v>2819</v>
      </c>
      <c r="HT6" t="s">
        <v>820</v>
      </c>
      <c r="HX6" t="s">
        <v>842</v>
      </c>
      <c r="HY6" t="s">
        <v>820</v>
      </c>
      <c r="HZ6" t="s">
        <v>820</v>
      </c>
      <c r="IA6" t="s">
        <v>820</v>
      </c>
      <c r="IK6" t="s">
        <v>820</v>
      </c>
      <c r="IN6" t="s">
        <v>2857</v>
      </c>
      <c r="IP6" t="s">
        <v>820</v>
      </c>
    </row>
    <row r="7" spans="1:340">
      <c r="N7" t="s">
        <v>820</v>
      </c>
      <c r="AK7" t="s">
        <v>879</v>
      </c>
      <c r="AL7" t="s">
        <v>888</v>
      </c>
      <c r="AM7" t="s">
        <v>879</v>
      </c>
      <c r="AN7" t="s">
        <v>820</v>
      </c>
      <c r="AY7" t="s">
        <v>15</v>
      </c>
      <c r="AZ7" t="s">
        <v>940</v>
      </c>
      <c r="BB7" t="s">
        <v>20</v>
      </c>
      <c r="BL7" t="s">
        <v>1198</v>
      </c>
      <c r="BS7" t="s">
        <v>1224</v>
      </c>
      <c r="BU7" t="s">
        <v>1240</v>
      </c>
      <c r="BV7" t="s">
        <v>1240</v>
      </c>
      <c r="BW7" t="s">
        <v>923</v>
      </c>
      <c r="BX7" t="s">
        <v>923</v>
      </c>
      <c r="BY7" t="s">
        <v>15</v>
      </c>
      <c r="BZ7" t="s">
        <v>15</v>
      </c>
      <c r="CA7" t="s">
        <v>18</v>
      </c>
      <c r="CB7" t="s">
        <v>18</v>
      </c>
      <c r="CC7" t="s">
        <v>1279</v>
      </c>
      <c r="CF7" t="s">
        <v>1294</v>
      </c>
      <c r="CG7" t="s">
        <v>1300</v>
      </c>
      <c r="CH7" t="s">
        <v>15</v>
      </c>
      <c r="CI7" t="s">
        <v>17</v>
      </c>
      <c r="CK7" t="s">
        <v>2294</v>
      </c>
      <c r="CM7" t="s">
        <v>2309</v>
      </c>
      <c r="CN7" t="s">
        <v>2365</v>
      </c>
      <c r="CO7" t="s">
        <v>2377</v>
      </c>
      <c r="CP7" t="s">
        <v>15</v>
      </c>
      <c r="CR7" t="s">
        <v>2378</v>
      </c>
      <c r="CS7" t="s">
        <v>2404</v>
      </c>
      <c r="CU7" t="s">
        <v>2424</v>
      </c>
      <c r="CV7" t="s">
        <v>2431</v>
      </c>
      <c r="DA7" t="s">
        <v>2452</v>
      </c>
      <c r="DC7" t="s">
        <v>2309</v>
      </c>
      <c r="DD7" t="s">
        <v>2368</v>
      </c>
      <c r="DE7" t="s">
        <v>2464</v>
      </c>
      <c r="DF7" t="s">
        <v>2472</v>
      </c>
      <c r="DG7" t="s">
        <v>2378</v>
      </c>
      <c r="DI7" t="s">
        <v>2378</v>
      </c>
      <c r="DJ7" t="s">
        <v>1268</v>
      </c>
      <c r="DR7" t="s">
        <v>2521</v>
      </c>
      <c r="DS7" t="s">
        <v>2521</v>
      </c>
      <c r="DX7" t="s">
        <v>1240</v>
      </c>
      <c r="DY7" t="s">
        <v>1240</v>
      </c>
      <c r="EP7" t="s">
        <v>18</v>
      </c>
      <c r="EQ7" t="s">
        <v>18</v>
      </c>
      <c r="ES7" t="s">
        <v>2521</v>
      </c>
      <c r="ET7" t="s">
        <v>2521</v>
      </c>
      <c r="EU7" t="s">
        <v>1240</v>
      </c>
      <c r="EV7" t="s">
        <v>1240</v>
      </c>
      <c r="EY7" t="s">
        <v>2603</v>
      </c>
      <c r="EZ7" t="s">
        <v>1240</v>
      </c>
      <c r="FA7" t="s">
        <v>1240</v>
      </c>
      <c r="FB7" t="s">
        <v>2616</v>
      </c>
      <c r="FG7" t="s">
        <v>2648</v>
      </c>
      <c r="FJ7" t="s">
        <v>2660</v>
      </c>
      <c r="FM7" t="s">
        <v>15</v>
      </c>
      <c r="FO7" t="s">
        <v>2682</v>
      </c>
      <c r="FP7" t="s">
        <v>2687</v>
      </c>
      <c r="FQ7" t="s">
        <v>1240</v>
      </c>
      <c r="FR7" t="s">
        <v>1240</v>
      </c>
      <c r="FS7" t="s">
        <v>2616</v>
      </c>
      <c r="GH7" t="s">
        <v>820</v>
      </c>
      <c r="GN7" t="s">
        <v>820</v>
      </c>
      <c r="GQ7" t="s">
        <v>2717</v>
      </c>
      <c r="GR7" t="s">
        <v>879</v>
      </c>
      <c r="GS7" t="s">
        <v>2717</v>
      </c>
      <c r="GT7" t="s">
        <v>2717</v>
      </c>
      <c r="HE7" t="s">
        <v>2760</v>
      </c>
      <c r="HF7" t="s">
        <v>2309</v>
      </c>
      <c r="HG7" t="s">
        <v>2309</v>
      </c>
      <c r="HH7" t="s">
        <v>2769</v>
      </c>
      <c r="HL7" t="s">
        <v>2796</v>
      </c>
      <c r="HS7" t="s">
        <v>2820</v>
      </c>
      <c r="HX7" t="s">
        <v>820</v>
      </c>
      <c r="IN7" t="s">
        <v>2858</v>
      </c>
    </row>
    <row r="8" spans="1:340">
      <c r="AK8" t="s">
        <v>888</v>
      </c>
      <c r="AL8" t="s">
        <v>820</v>
      </c>
      <c r="AM8" t="s">
        <v>888</v>
      </c>
      <c r="AY8" t="s">
        <v>18</v>
      </c>
      <c r="AZ8" t="s">
        <v>941</v>
      </c>
      <c r="BB8" t="s">
        <v>23</v>
      </c>
      <c r="BL8" t="s">
        <v>1199</v>
      </c>
      <c r="BS8" t="s">
        <v>1225</v>
      </c>
      <c r="BU8" t="s">
        <v>1241</v>
      </c>
      <c r="BV8" t="s">
        <v>1241</v>
      </c>
      <c r="BW8" t="s">
        <v>167</v>
      </c>
      <c r="BX8" t="s">
        <v>167</v>
      </c>
      <c r="BY8" t="s">
        <v>18</v>
      </c>
      <c r="BZ8" t="s">
        <v>18</v>
      </c>
      <c r="CA8" t="s">
        <v>21</v>
      </c>
      <c r="CB8" t="s">
        <v>21</v>
      </c>
      <c r="CG8" t="s">
        <v>1301</v>
      </c>
      <c r="CH8" t="s">
        <v>18</v>
      </c>
      <c r="CI8" t="s">
        <v>20</v>
      </c>
      <c r="CK8" t="s">
        <v>2295</v>
      </c>
      <c r="CM8" t="s">
        <v>2310</v>
      </c>
      <c r="CN8" t="s">
        <v>2366</v>
      </c>
      <c r="CO8" t="s">
        <v>2378</v>
      </c>
      <c r="CP8" t="s">
        <v>18</v>
      </c>
      <c r="CR8" t="s">
        <v>2379</v>
      </c>
      <c r="CS8" t="s">
        <v>2405</v>
      </c>
      <c r="CU8" t="s">
        <v>2425</v>
      </c>
      <c r="DC8" t="s">
        <v>2310</v>
      </c>
      <c r="DD8" t="s">
        <v>2369</v>
      </c>
      <c r="DE8" t="s">
        <v>2465</v>
      </c>
      <c r="DG8" t="s">
        <v>2379</v>
      </c>
      <c r="DI8" t="s">
        <v>2379</v>
      </c>
      <c r="DJ8" t="s">
        <v>1269</v>
      </c>
      <c r="DR8" t="s">
        <v>2522</v>
      </c>
      <c r="DS8" t="s">
        <v>2522</v>
      </c>
      <c r="DX8" t="s">
        <v>1241</v>
      </c>
      <c r="DY8" t="s">
        <v>1241</v>
      </c>
      <c r="EP8" t="s">
        <v>21</v>
      </c>
      <c r="EQ8" t="s">
        <v>21</v>
      </c>
      <c r="ES8" t="s">
        <v>2522</v>
      </c>
      <c r="ET8" t="s">
        <v>2522</v>
      </c>
      <c r="EU8" t="s">
        <v>1241</v>
      </c>
      <c r="EV8" t="s">
        <v>1241</v>
      </c>
      <c r="EY8" t="s">
        <v>2604</v>
      </c>
      <c r="EZ8" t="s">
        <v>1241</v>
      </c>
      <c r="FA8" t="s">
        <v>1241</v>
      </c>
      <c r="FB8" t="s">
        <v>2617</v>
      </c>
      <c r="FJ8" t="s">
        <v>2488</v>
      </c>
      <c r="FM8" t="s">
        <v>18</v>
      </c>
      <c r="FP8" t="s">
        <v>2688</v>
      </c>
      <c r="FQ8" t="s">
        <v>1241</v>
      </c>
      <c r="FR8" t="s">
        <v>1241</v>
      </c>
      <c r="FS8" t="s">
        <v>2617</v>
      </c>
      <c r="GQ8" t="s">
        <v>879</v>
      </c>
      <c r="GR8" t="s">
        <v>888</v>
      </c>
      <c r="GS8" t="s">
        <v>879</v>
      </c>
      <c r="GT8" t="s">
        <v>820</v>
      </c>
      <c r="HE8" t="s">
        <v>2761</v>
      </c>
      <c r="HF8" t="s">
        <v>2310</v>
      </c>
      <c r="HG8" t="s">
        <v>2310</v>
      </c>
      <c r="HH8" t="s">
        <v>2770</v>
      </c>
      <c r="HL8" t="s">
        <v>2797</v>
      </c>
      <c r="HS8" t="s">
        <v>2821</v>
      </c>
      <c r="IN8" t="s">
        <v>2859</v>
      </c>
    </row>
    <row r="9" spans="1:340">
      <c r="AK9" t="s">
        <v>820</v>
      </c>
      <c r="AM9" t="s">
        <v>820</v>
      </c>
      <c r="AY9" t="s">
        <v>21</v>
      </c>
      <c r="AZ9" t="s">
        <v>942</v>
      </c>
      <c r="BB9" t="s">
        <v>29</v>
      </c>
      <c r="BS9" t="s">
        <v>1226</v>
      </c>
      <c r="BU9" t="s">
        <v>1242</v>
      </c>
      <c r="BV9" t="s">
        <v>1242</v>
      </c>
      <c r="BW9" t="s">
        <v>185</v>
      </c>
      <c r="BX9" t="s">
        <v>185</v>
      </c>
      <c r="BY9" t="s">
        <v>21</v>
      </c>
      <c r="BZ9" t="s">
        <v>21</v>
      </c>
      <c r="CA9" t="s">
        <v>27</v>
      </c>
      <c r="CB9" t="s">
        <v>27</v>
      </c>
      <c r="CG9" t="s">
        <v>1302</v>
      </c>
      <c r="CH9" t="s">
        <v>21</v>
      </c>
      <c r="CI9" t="s">
        <v>23</v>
      </c>
      <c r="CK9" t="s">
        <v>2296</v>
      </c>
      <c r="CM9" t="s">
        <v>2311</v>
      </c>
      <c r="CN9" t="s">
        <v>2367</v>
      </c>
      <c r="CO9" t="s">
        <v>2379</v>
      </c>
      <c r="CP9" t="s">
        <v>21</v>
      </c>
      <c r="CR9" t="s">
        <v>2380</v>
      </c>
      <c r="CS9" t="s">
        <v>2406</v>
      </c>
      <c r="DC9" t="s">
        <v>2311</v>
      </c>
      <c r="DD9" t="s">
        <v>2370</v>
      </c>
      <c r="DG9" t="s">
        <v>2380</v>
      </c>
      <c r="DI9" t="s">
        <v>2380</v>
      </c>
      <c r="DJ9" t="s">
        <v>1270</v>
      </c>
      <c r="DR9" t="s">
        <v>2523</v>
      </c>
      <c r="DS9" t="s">
        <v>2523</v>
      </c>
      <c r="DX9" t="s">
        <v>1242</v>
      </c>
      <c r="DY9" t="s">
        <v>1242</v>
      </c>
      <c r="EP9" t="s">
        <v>27</v>
      </c>
      <c r="EQ9" t="s">
        <v>27</v>
      </c>
      <c r="ES9" t="s">
        <v>2523</v>
      </c>
      <c r="ET9" t="s">
        <v>2523</v>
      </c>
      <c r="EU9" t="s">
        <v>1242</v>
      </c>
      <c r="EV9" t="s">
        <v>1242</v>
      </c>
      <c r="EY9" t="s">
        <v>2605</v>
      </c>
      <c r="EZ9" t="s">
        <v>1242</v>
      </c>
      <c r="FA9" t="s">
        <v>1242</v>
      </c>
      <c r="FB9" t="s">
        <v>2618</v>
      </c>
      <c r="FM9" t="s">
        <v>21</v>
      </c>
      <c r="FP9" t="s">
        <v>2689</v>
      </c>
      <c r="FQ9" t="s">
        <v>1242</v>
      </c>
      <c r="FR9" t="s">
        <v>1242</v>
      </c>
      <c r="FS9" t="s">
        <v>2618</v>
      </c>
      <c r="GQ9" t="s">
        <v>888</v>
      </c>
      <c r="GR9" t="s">
        <v>820</v>
      </c>
      <c r="GS9" t="s">
        <v>888</v>
      </c>
      <c r="HE9" t="s">
        <v>2762</v>
      </c>
      <c r="HF9" t="s">
        <v>2311</v>
      </c>
      <c r="HG9" t="s">
        <v>2311</v>
      </c>
      <c r="HH9" t="s">
        <v>2771</v>
      </c>
      <c r="HL9" t="s">
        <v>2798</v>
      </c>
      <c r="HS9" t="s">
        <v>2822</v>
      </c>
      <c r="IN9" t="s">
        <v>2860</v>
      </c>
    </row>
    <row r="10" spans="1:340">
      <c r="AY10" t="s">
        <v>30</v>
      </c>
      <c r="AZ10" t="s">
        <v>943</v>
      </c>
      <c r="BB10" t="s">
        <v>32</v>
      </c>
      <c r="BS10" t="s">
        <v>1227</v>
      </c>
      <c r="BU10" t="s">
        <v>1243</v>
      </c>
      <c r="BV10" t="s">
        <v>1243</v>
      </c>
      <c r="BW10" t="s">
        <v>195</v>
      </c>
      <c r="BX10" t="s">
        <v>195</v>
      </c>
      <c r="BY10" t="s">
        <v>27</v>
      </c>
      <c r="BZ10" t="s">
        <v>27</v>
      </c>
      <c r="CA10" t="s">
        <v>30</v>
      </c>
      <c r="CB10" t="s">
        <v>30</v>
      </c>
      <c r="CG10" t="s">
        <v>1303</v>
      </c>
      <c r="CH10" t="s">
        <v>27</v>
      </c>
      <c r="CI10" t="s">
        <v>29</v>
      </c>
      <c r="CK10" t="s">
        <v>2297</v>
      </c>
      <c r="CM10" t="s">
        <v>2312</v>
      </c>
      <c r="CN10" t="s">
        <v>2368</v>
      </c>
      <c r="CO10" t="s">
        <v>2380</v>
      </c>
      <c r="CP10" t="s">
        <v>27</v>
      </c>
      <c r="CR10" t="s">
        <v>2381</v>
      </c>
      <c r="CS10" t="s">
        <v>2407</v>
      </c>
      <c r="DC10" t="s">
        <v>2312</v>
      </c>
      <c r="DG10" t="s">
        <v>2381</v>
      </c>
      <c r="DI10" t="s">
        <v>2381</v>
      </c>
      <c r="DR10" t="s">
        <v>2524</v>
      </c>
      <c r="DS10" t="s">
        <v>2524</v>
      </c>
      <c r="DX10" t="s">
        <v>1243</v>
      </c>
      <c r="DY10" t="s">
        <v>1243</v>
      </c>
      <c r="EP10" t="s">
        <v>30</v>
      </c>
      <c r="EQ10" t="s">
        <v>30</v>
      </c>
      <c r="ES10" t="s">
        <v>2524</v>
      </c>
      <c r="ET10" t="s">
        <v>2524</v>
      </c>
      <c r="EU10" t="s">
        <v>1243</v>
      </c>
      <c r="EV10" t="s">
        <v>1243</v>
      </c>
      <c r="EY10" t="s">
        <v>2606</v>
      </c>
      <c r="EZ10" t="s">
        <v>1243</v>
      </c>
      <c r="FA10" t="s">
        <v>1243</v>
      </c>
      <c r="FB10" t="s">
        <v>2619</v>
      </c>
      <c r="FM10" t="s">
        <v>27</v>
      </c>
      <c r="FP10" t="s">
        <v>2690</v>
      </c>
      <c r="FQ10" t="s">
        <v>1243</v>
      </c>
      <c r="FR10" t="s">
        <v>1243</v>
      </c>
      <c r="FS10" t="s">
        <v>2619</v>
      </c>
      <c r="GQ10" t="s">
        <v>820</v>
      </c>
      <c r="GS10" t="s">
        <v>820</v>
      </c>
      <c r="HF10" t="s">
        <v>2312</v>
      </c>
      <c r="HG10" t="s">
        <v>2312</v>
      </c>
      <c r="HH10" t="s">
        <v>2772</v>
      </c>
      <c r="HL10" t="s">
        <v>2799</v>
      </c>
      <c r="HS10" t="s">
        <v>2823</v>
      </c>
      <c r="IN10" t="s">
        <v>2861</v>
      </c>
    </row>
    <row r="11" spans="1:340">
      <c r="AY11" t="s">
        <v>36</v>
      </c>
      <c r="AZ11" t="s">
        <v>944</v>
      </c>
      <c r="BB11" t="s">
        <v>38</v>
      </c>
      <c r="BS11" t="s">
        <v>1228</v>
      </c>
      <c r="BU11" t="s">
        <v>1244</v>
      </c>
      <c r="BV11" t="s">
        <v>1244</v>
      </c>
      <c r="BW11" t="s">
        <v>197</v>
      </c>
      <c r="BX11" t="s">
        <v>197</v>
      </c>
      <c r="BY11" t="s">
        <v>30</v>
      </c>
      <c r="BZ11" t="s">
        <v>30</v>
      </c>
      <c r="CA11" t="s">
        <v>36</v>
      </c>
      <c r="CB11" t="s">
        <v>36</v>
      </c>
      <c r="CG11" t="s">
        <v>1304</v>
      </c>
      <c r="CH11" t="s">
        <v>30</v>
      </c>
      <c r="CI11" t="s">
        <v>32</v>
      </c>
      <c r="CK11" t="s">
        <v>2298</v>
      </c>
      <c r="CM11" t="s">
        <v>2313</v>
      </c>
      <c r="CN11" t="s">
        <v>2369</v>
      </c>
      <c r="CO11" t="s">
        <v>2381</v>
      </c>
      <c r="CP11" t="s">
        <v>30</v>
      </c>
      <c r="CR11" t="s">
        <v>2382</v>
      </c>
      <c r="CS11" t="s">
        <v>2408</v>
      </c>
      <c r="DC11" t="s">
        <v>2313</v>
      </c>
      <c r="DG11" t="s">
        <v>2382</v>
      </c>
      <c r="DI11" t="s">
        <v>2382</v>
      </c>
      <c r="DR11" t="s">
        <v>2525</v>
      </c>
      <c r="DS11" t="s">
        <v>2525</v>
      </c>
      <c r="DX11" t="s">
        <v>1244</v>
      </c>
      <c r="DY11" t="s">
        <v>1244</v>
      </c>
      <c r="EP11" t="s">
        <v>36</v>
      </c>
      <c r="EQ11" t="s">
        <v>36</v>
      </c>
      <c r="ES11" t="s">
        <v>2525</v>
      </c>
      <c r="ET11" t="s">
        <v>2525</v>
      </c>
      <c r="EU11" t="s">
        <v>1244</v>
      </c>
      <c r="EV11" t="s">
        <v>1244</v>
      </c>
      <c r="EY11" t="s">
        <v>2607</v>
      </c>
      <c r="EZ11" t="s">
        <v>1244</v>
      </c>
      <c r="FA11" t="s">
        <v>1244</v>
      </c>
      <c r="FB11" t="s">
        <v>2620</v>
      </c>
      <c r="FM11" t="s">
        <v>30</v>
      </c>
      <c r="FP11" t="s">
        <v>2691</v>
      </c>
      <c r="FQ11" t="s">
        <v>1244</v>
      </c>
      <c r="FR11" t="s">
        <v>1244</v>
      </c>
      <c r="FS11" t="s">
        <v>2620</v>
      </c>
      <c r="HF11" t="s">
        <v>2313</v>
      </c>
      <c r="HG11" t="s">
        <v>2313</v>
      </c>
      <c r="HH11" t="s">
        <v>2773</v>
      </c>
      <c r="HL11" t="s">
        <v>2800</v>
      </c>
      <c r="HS11" t="s">
        <v>2824</v>
      </c>
      <c r="IN11" t="s">
        <v>2862</v>
      </c>
    </row>
    <row r="12" spans="1:340">
      <c r="AY12" t="s">
        <v>39</v>
      </c>
      <c r="AZ12" t="s">
        <v>945</v>
      </c>
      <c r="BB12" t="s">
        <v>41</v>
      </c>
      <c r="BS12" t="s">
        <v>1229</v>
      </c>
      <c r="BU12" t="s">
        <v>1245</v>
      </c>
      <c r="BV12" t="s">
        <v>1245</v>
      </c>
      <c r="BW12" t="s">
        <v>211</v>
      </c>
      <c r="BX12" t="s">
        <v>211</v>
      </c>
      <c r="BY12" t="s">
        <v>36</v>
      </c>
      <c r="BZ12" t="s">
        <v>36</v>
      </c>
      <c r="CA12" t="s">
        <v>39</v>
      </c>
      <c r="CB12" t="s">
        <v>39</v>
      </c>
      <c r="CG12" t="s">
        <v>1305</v>
      </c>
      <c r="CH12" t="s">
        <v>36</v>
      </c>
      <c r="CI12" t="s">
        <v>38</v>
      </c>
      <c r="CM12" t="s">
        <v>2314</v>
      </c>
      <c r="CN12" t="s">
        <v>2370</v>
      </c>
      <c r="CO12" t="s">
        <v>2382</v>
      </c>
      <c r="CP12" t="s">
        <v>36</v>
      </c>
      <c r="CR12" t="s">
        <v>2397</v>
      </c>
      <c r="CS12" t="s">
        <v>2409</v>
      </c>
      <c r="DC12" t="s">
        <v>2314</v>
      </c>
      <c r="DG12" t="s">
        <v>2383</v>
      </c>
      <c r="DI12" t="s">
        <v>2481</v>
      </c>
      <c r="DR12" t="s">
        <v>2526</v>
      </c>
      <c r="DS12" t="s">
        <v>2526</v>
      </c>
      <c r="DX12" t="s">
        <v>1245</v>
      </c>
      <c r="DY12" t="s">
        <v>1245</v>
      </c>
      <c r="EP12" t="s">
        <v>39</v>
      </c>
      <c r="EQ12" t="s">
        <v>39</v>
      </c>
      <c r="ES12" t="s">
        <v>2526</v>
      </c>
      <c r="ET12" t="s">
        <v>2526</v>
      </c>
      <c r="EU12" t="s">
        <v>1245</v>
      </c>
      <c r="EV12" t="s">
        <v>1245</v>
      </c>
      <c r="EZ12" t="s">
        <v>1245</v>
      </c>
      <c r="FA12" t="s">
        <v>1245</v>
      </c>
      <c r="FB12" t="s">
        <v>2621</v>
      </c>
      <c r="FM12" t="s">
        <v>36</v>
      </c>
      <c r="FQ12" t="s">
        <v>1245</v>
      </c>
      <c r="FR12" t="s">
        <v>1245</v>
      </c>
      <c r="FS12" t="s">
        <v>2621</v>
      </c>
      <c r="HF12" t="s">
        <v>2314</v>
      </c>
      <c r="HG12" t="s">
        <v>2314</v>
      </c>
      <c r="HH12" t="s">
        <v>2774</v>
      </c>
      <c r="IN12" t="s">
        <v>2863</v>
      </c>
    </row>
    <row r="13" spans="1:340">
      <c r="AY13" t="s">
        <v>43</v>
      </c>
      <c r="AZ13" t="s">
        <v>946</v>
      </c>
      <c r="BB13" t="s">
        <v>45</v>
      </c>
      <c r="BU13" t="s">
        <v>1246</v>
      </c>
      <c r="BV13" t="s">
        <v>1246</v>
      </c>
      <c r="BW13" t="s">
        <v>217</v>
      </c>
      <c r="BX13" t="s">
        <v>217</v>
      </c>
      <c r="BY13" t="s">
        <v>39</v>
      </c>
      <c r="BZ13" t="s">
        <v>39</v>
      </c>
      <c r="CA13" t="s">
        <v>43</v>
      </c>
      <c r="CB13" t="s">
        <v>43</v>
      </c>
      <c r="CG13" t="s">
        <v>1306</v>
      </c>
      <c r="CH13" t="s">
        <v>39</v>
      </c>
      <c r="CI13" t="s">
        <v>41</v>
      </c>
      <c r="CM13" t="s">
        <v>2315</v>
      </c>
      <c r="CO13" t="s">
        <v>2383</v>
      </c>
      <c r="CP13" t="s">
        <v>39</v>
      </c>
      <c r="CS13" t="s">
        <v>2410</v>
      </c>
      <c r="DC13" t="s">
        <v>2315</v>
      </c>
      <c r="DG13" t="s">
        <v>2384</v>
      </c>
      <c r="DR13" t="s">
        <v>2527</v>
      </c>
      <c r="DS13" t="s">
        <v>2527</v>
      </c>
      <c r="DX13" t="s">
        <v>1246</v>
      </c>
      <c r="DY13" t="s">
        <v>1246</v>
      </c>
      <c r="EP13" t="s">
        <v>43</v>
      </c>
      <c r="EQ13" t="s">
        <v>43</v>
      </c>
      <c r="ES13" t="s">
        <v>2527</v>
      </c>
      <c r="ET13" t="s">
        <v>2527</v>
      </c>
      <c r="EU13" t="s">
        <v>1246</v>
      </c>
      <c r="EV13" t="s">
        <v>1246</v>
      </c>
      <c r="EZ13" t="s">
        <v>1246</v>
      </c>
      <c r="FA13" t="s">
        <v>1246</v>
      </c>
      <c r="FB13" t="s">
        <v>2622</v>
      </c>
      <c r="FM13" t="s">
        <v>39</v>
      </c>
      <c r="FQ13" t="s">
        <v>1246</v>
      </c>
      <c r="FR13" t="s">
        <v>1246</v>
      </c>
      <c r="FS13" t="s">
        <v>2622</v>
      </c>
      <c r="HF13" t="s">
        <v>2315</v>
      </c>
      <c r="HG13" t="s">
        <v>2315</v>
      </c>
      <c r="HH13" t="s">
        <v>2775</v>
      </c>
    </row>
    <row r="14" spans="1:340">
      <c r="AY14" t="s">
        <v>46</v>
      </c>
      <c r="AZ14" t="s">
        <v>947</v>
      </c>
      <c r="BB14" t="s">
        <v>48</v>
      </c>
      <c r="BU14" t="s">
        <v>1247</v>
      </c>
      <c r="BV14" t="s">
        <v>1247</v>
      </c>
      <c r="BW14" t="s">
        <v>155</v>
      </c>
      <c r="BX14" t="s">
        <v>155</v>
      </c>
      <c r="BY14" t="s">
        <v>43</v>
      </c>
      <c r="BZ14" t="s">
        <v>43</v>
      </c>
      <c r="CA14" t="s">
        <v>46</v>
      </c>
      <c r="CB14" t="s">
        <v>46</v>
      </c>
      <c r="CG14" t="s">
        <v>1307</v>
      </c>
      <c r="CH14" t="s">
        <v>43</v>
      </c>
      <c r="CI14" t="s">
        <v>45</v>
      </c>
      <c r="CM14" t="s">
        <v>2316</v>
      </c>
      <c r="CO14" t="s">
        <v>2384</v>
      </c>
      <c r="CP14" t="s">
        <v>43</v>
      </c>
      <c r="CS14" t="s">
        <v>2411</v>
      </c>
      <c r="DC14" t="s">
        <v>2316</v>
      </c>
      <c r="DG14" t="s">
        <v>2385</v>
      </c>
      <c r="DR14" t="s">
        <v>1259</v>
      </c>
      <c r="DS14" t="s">
        <v>1259</v>
      </c>
      <c r="EP14" t="s">
        <v>46</v>
      </c>
      <c r="EQ14" t="s">
        <v>46</v>
      </c>
      <c r="ES14" t="s">
        <v>1259</v>
      </c>
      <c r="ET14" t="s">
        <v>1259</v>
      </c>
      <c r="EU14" t="s">
        <v>1247</v>
      </c>
      <c r="EV14" t="s">
        <v>1247</v>
      </c>
      <c r="EZ14" t="s">
        <v>1247</v>
      </c>
      <c r="FA14" t="s">
        <v>1247</v>
      </c>
      <c r="FB14" t="s">
        <v>2623</v>
      </c>
      <c r="FM14" t="s">
        <v>43</v>
      </c>
      <c r="FQ14" t="s">
        <v>1247</v>
      </c>
      <c r="FR14" t="s">
        <v>1247</v>
      </c>
      <c r="FS14" t="s">
        <v>2623</v>
      </c>
      <c r="HF14" t="s">
        <v>2316</v>
      </c>
      <c r="HG14" t="s">
        <v>2316</v>
      </c>
      <c r="HH14" t="s">
        <v>2776</v>
      </c>
    </row>
    <row r="15" spans="1:340">
      <c r="AY15" t="s">
        <v>50</v>
      </c>
      <c r="AZ15" t="s">
        <v>948</v>
      </c>
      <c r="BB15" t="s">
        <v>52</v>
      </c>
      <c r="BU15" t="s">
        <v>1248</v>
      </c>
      <c r="BV15" t="s">
        <v>1248</v>
      </c>
      <c r="BW15" t="s">
        <v>247</v>
      </c>
      <c r="BX15" t="s">
        <v>247</v>
      </c>
      <c r="BY15" t="s">
        <v>46</v>
      </c>
      <c r="BZ15" t="s">
        <v>46</v>
      </c>
      <c r="CA15" t="s">
        <v>50</v>
      </c>
      <c r="CB15" t="s">
        <v>50</v>
      </c>
      <c r="CG15" t="s">
        <v>1308</v>
      </c>
      <c r="CH15" t="s">
        <v>46</v>
      </c>
      <c r="CI15" t="s">
        <v>48</v>
      </c>
      <c r="CM15" t="s">
        <v>2317</v>
      </c>
      <c r="CO15" t="s">
        <v>2385</v>
      </c>
      <c r="CP15" t="s">
        <v>46</v>
      </c>
      <c r="CS15" t="s">
        <v>2412</v>
      </c>
      <c r="DC15" t="s">
        <v>2317</v>
      </c>
      <c r="DG15" t="s">
        <v>2386</v>
      </c>
      <c r="DR15" t="s">
        <v>1260</v>
      </c>
      <c r="DS15" t="s">
        <v>1260</v>
      </c>
      <c r="EP15" t="s">
        <v>50</v>
      </c>
      <c r="EQ15" t="s">
        <v>50</v>
      </c>
      <c r="ES15" t="s">
        <v>1262</v>
      </c>
      <c r="ET15" t="s">
        <v>1262</v>
      </c>
      <c r="EU15" t="s">
        <v>1248</v>
      </c>
      <c r="EV15" t="s">
        <v>1248</v>
      </c>
      <c r="EZ15" t="s">
        <v>1248</v>
      </c>
      <c r="FA15" t="s">
        <v>1248</v>
      </c>
      <c r="FB15" t="s">
        <v>2624</v>
      </c>
      <c r="FM15" t="s">
        <v>46</v>
      </c>
      <c r="FQ15" t="s">
        <v>1248</v>
      </c>
      <c r="FR15" t="s">
        <v>1248</v>
      </c>
      <c r="FS15" t="s">
        <v>2624</v>
      </c>
      <c r="HF15" t="s">
        <v>2317</v>
      </c>
      <c r="HG15" t="s">
        <v>2317</v>
      </c>
      <c r="HH15" t="s">
        <v>2777</v>
      </c>
    </row>
    <row r="16" spans="1:340">
      <c r="AY16" t="s">
        <v>53</v>
      </c>
      <c r="AZ16" t="s">
        <v>949</v>
      </c>
      <c r="BB16" t="s">
        <v>55</v>
      </c>
      <c r="BU16" t="s">
        <v>1249</v>
      </c>
      <c r="BV16" t="s">
        <v>1249</v>
      </c>
      <c r="BW16" t="s">
        <v>249</v>
      </c>
      <c r="BX16" t="s">
        <v>249</v>
      </c>
      <c r="BY16" t="s">
        <v>50</v>
      </c>
      <c r="BZ16" t="s">
        <v>50</v>
      </c>
      <c r="CA16" t="s">
        <v>53</v>
      </c>
      <c r="CB16" t="s">
        <v>53</v>
      </c>
      <c r="CG16" t="s">
        <v>1309</v>
      </c>
      <c r="CH16" t="s">
        <v>50</v>
      </c>
      <c r="CI16" t="s">
        <v>52</v>
      </c>
      <c r="CM16" t="s">
        <v>2318</v>
      </c>
      <c r="CO16" t="s">
        <v>2386</v>
      </c>
      <c r="CP16" t="s">
        <v>50</v>
      </c>
      <c r="CS16" t="s">
        <v>2413</v>
      </c>
      <c r="DC16" t="s">
        <v>2318</v>
      </c>
      <c r="DG16" t="s">
        <v>2387</v>
      </c>
      <c r="DR16" t="s">
        <v>1262</v>
      </c>
      <c r="DS16" t="s">
        <v>1262</v>
      </c>
      <c r="EP16" t="s">
        <v>57</v>
      </c>
      <c r="EQ16" t="s">
        <v>57</v>
      </c>
      <c r="ES16" t="s">
        <v>1261</v>
      </c>
      <c r="ET16" t="s">
        <v>1261</v>
      </c>
      <c r="EU16" t="s">
        <v>1249</v>
      </c>
      <c r="EV16" t="s">
        <v>1249</v>
      </c>
      <c r="EZ16" t="s">
        <v>1249</v>
      </c>
      <c r="FA16" t="s">
        <v>1249</v>
      </c>
      <c r="FM16" t="s">
        <v>50</v>
      </c>
      <c r="FQ16" t="s">
        <v>1249</v>
      </c>
      <c r="FR16" t="s">
        <v>1249</v>
      </c>
      <c r="FS16" t="s">
        <v>2694</v>
      </c>
      <c r="HF16" t="s">
        <v>2318</v>
      </c>
      <c r="HG16" t="s">
        <v>2318</v>
      </c>
      <c r="HH16" t="s">
        <v>2778</v>
      </c>
    </row>
    <row r="17" spans="51:216">
      <c r="AY17" t="s">
        <v>57</v>
      </c>
      <c r="AZ17" t="s">
        <v>950</v>
      </c>
      <c r="BB17" t="s">
        <v>59</v>
      </c>
      <c r="BU17" t="s">
        <v>1250</v>
      </c>
      <c r="BV17" t="s">
        <v>1250</v>
      </c>
      <c r="BW17" t="s">
        <v>259</v>
      </c>
      <c r="BX17" t="s">
        <v>259</v>
      </c>
      <c r="BY17" t="s">
        <v>57</v>
      </c>
      <c r="BZ17" t="s">
        <v>57</v>
      </c>
      <c r="CA17" t="s">
        <v>57</v>
      </c>
      <c r="CB17" t="s">
        <v>57</v>
      </c>
      <c r="CG17" t="s">
        <v>1310</v>
      </c>
      <c r="CH17" t="s">
        <v>53</v>
      </c>
      <c r="CI17" t="s">
        <v>55</v>
      </c>
      <c r="CM17" t="s">
        <v>2319</v>
      </c>
      <c r="CO17" t="s">
        <v>2387</v>
      </c>
      <c r="CP17" t="s">
        <v>53</v>
      </c>
      <c r="DC17" t="s">
        <v>2319</v>
      </c>
      <c r="DG17" t="s">
        <v>2388</v>
      </c>
      <c r="DR17" t="s">
        <v>1261</v>
      </c>
      <c r="DS17" t="s">
        <v>1261</v>
      </c>
      <c r="EP17" t="s">
        <v>60</v>
      </c>
      <c r="EQ17" t="s">
        <v>60</v>
      </c>
      <c r="ES17" t="s">
        <v>1260</v>
      </c>
      <c r="ET17" t="s">
        <v>1260</v>
      </c>
      <c r="EU17" t="s">
        <v>1250</v>
      </c>
      <c r="EV17" t="s">
        <v>1250</v>
      </c>
      <c r="EZ17" t="s">
        <v>1250</v>
      </c>
      <c r="FA17" t="s">
        <v>1250</v>
      </c>
      <c r="FM17" t="s">
        <v>53</v>
      </c>
      <c r="FQ17" t="s">
        <v>1250</v>
      </c>
      <c r="FR17" t="s">
        <v>1250</v>
      </c>
      <c r="FS17" t="s">
        <v>2695</v>
      </c>
      <c r="HF17" t="s">
        <v>2319</v>
      </c>
      <c r="HG17" t="s">
        <v>2319</v>
      </c>
      <c r="HH17" t="s">
        <v>2488</v>
      </c>
    </row>
    <row r="18" spans="51:216">
      <c r="AY18" t="s">
        <v>60</v>
      </c>
      <c r="AZ18" t="s">
        <v>951</v>
      </c>
      <c r="BB18" t="s">
        <v>62</v>
      </c>
      <c r="BU18" t="s">
        <v>1251</v>
      </c>
      <c r="BV18" t="s">
        <v>1251</v>
      </c>
      <c r="BW18" t="s">
        <v>265</v>
      </c>
      <c r="BX18" t="s">
        <v>265</v>
      </c>
      <c r="BY18" t="s">
        <v>60</v>
      </c>
      <c r="BZ18" t="s">
        <v>60</v>
      </c>
      <c r="CA18" t="s">
        <v>60</v>
      </c>
      <c r="CB18" t="s">
        <v>60</v>
      </c>
      <c r="CG18" t="s">
        <v>1311</v>
      </c>
      <c r="CH18" t="s">
        <v>57</v>
      </c>
      <c r="CI18" t="s">
        <v>59</v>
      </c>
      <c r="CM18" t="s">
        <v>2320</v>
      </c>
      <c r="CO18" t="s">
        <v>2388</v>
      </c>
      <c r="CP18" t="s">
        <v>57</v>
      </c>
      <c r="DC18" t="s">
        <v>2320</v>
      </c>
      <c r="EP18" t="s">
        <v>64</v>
      </c>
      <c r="EQ18" t="s">
        <v>64</v>
      </c>
      <c r="ES18" t="s">
        <v>2589</v>
      </c>
      <c r="ET18" t="s">
        <v>2589</v>
      </c>
      <c r="EU18" t="s">
        <v>1251</v>
      </c>
      <c r="EV18" t="s">
        <v>1251</v>
      </c>
      <c r="EZ18" t="s">
        <v>1251</v>
      </c>
      <c r="FA18" t="s">
        <v>1251</v>
      </c>
      <c r="FM18" t="s">
        <v>57</v>
      </c>
      <c r="FQ18" t="s">
        <v>1251</v>
      </c>
      <c r="FR18" t="s">
        <v>1251</v>
      </c>
      <c r="FS18" t="s">
        <v>2696</v>
      </c>
      <c r="HF18" t="s">
        <v>2320</v>
      </c>
      <c r="HG18" t="s">
        <v>2320</v>
      </c>
    </row>
    <row r="19" spans="51:216">
      <c r="AY19" t="s">
        <v>64</v>
      </c>
      <c r="AZ19" t="s">
        <v>952</v>
      </c>
      <c r="BB19" t="s">
        <v>66</v>
      </c>
      <c r="BU19" t="s">
        <v>1252</v>
      </c>
      <c r="BV19" t="s">
        <v>1252</v>
      </c>
      <c r="BW19" t="s">
        <v>291</v>
      </c>
      <c r="BX19" t="s">
        <v>291</v>
      </c>
      <c r="BY19" t="s">
        <v>64</v>
      </c>
      <c r="BZ19" t="s">
        <v>64</v>
      </c>
      <c r="CA19" t="s">
        <v>64</v>
      </c>
      <c r="CB19" t="s">
        <v>64</v>
      </c>
      <c r="CG19" t="s">
        <v>1312</v>
      </c>
      <c r="CH19" t="s">
        <v>60</v>
      </c>
      <c r="CI19" t="s">
        <v>62</v>
      </c>
      <c r="CM19" t="s">
        <v>2321</v>
      </c>
      <c r="CO19" t="s">
        <v>2389</v>
      </c>
      <c r="CP19" t="s">
        <v>60</v>
      </c>
      <c r="DC19" t="s">
        <v>2321</v>
      </c>
      <c r="EP19" t="s">
        <v>67</v>
      </c>
      <c r="EQ19" t="s">
        <v>67</v>
      </c>
      <c r="ES19" t="s">
        <v>1263</v>
      </c>
      <c r="ET19" t="s">
        <v>1263</v>
      </c>
      <c r="EU19" t="s">
        <v>1252</v>
      </c>
      <c r="EV19" t="s">
        <v>1252</v>
      </c>
      <c r="EZ19" t="s">
        <v>1252</v>
      </c>
      <c r="FA19" t="s">
        <v>1252</v>
      </c>
      <c r="FM19" t="s">
        <v>60</v>
      </c>
      <c r="FQ19" t="s">
        <v>1252</v>
      </c>
      <c r="FR19" t="s">
        <v>1252</v>
      </c>
      <c r="HF19" t="s">
        <v>2321</v>
      </c>
      <c r="HG19" t="s">
        <v>2321</v>
      </c>
    </row>
    <row r="20" spans="51:216">
      <c r="AY20" t="s">
        <v>67</v>
      </c>
      <c r="AZ20" t="s">
        <v>953</v>
      </c>
      <c r="BB20" t="s">
        <v>68</v>
      </c>
      <c r="BU20" t="s">
        <v>1253</v>
      </c>
      <c r="BV20" t="s">
        <v>1253</v>
      </c>
      <c r="BW20" t="s">
        <v>301</v>
      </c>
      <c r="BX20" t="s">
        <v>301</v>
      </c>
      <c r="BY20" t="s">
        <v>67</v>
      </c>
      <c r="BZ20" t="s">
        <v>67</v>
      </c>
      <c r="CA20" t="s">
        <v>67</v>
      </c>
      <c r="CB20" t="s">
        <v>67</v>
      </c>
      <c r="CG20" t="s">
        <v>1313</v>
      </c>
      <c r="CH20" t="s">
        <v>64</v>
      </c>
      <c r="CI20" t="s">
        <v>66</v>
      </c>
      <c r="CM20" t="s">
        <v>2322</v>
      </c>
      <c r="CP20" t="s">
        <v>64</v>
      </c>
      <c r="DC20" t="s">
        <v>2322</v>
      </c>
      <c r="EP20" t="s">
        <v>70</v>
      </c>
      <c r="EQ20" t="s">
        <v>70</v>
      </c>
      <c r="EU20" t="s">
        <v>1253</v>
      </c>
      <c r="EV20" t="s">
        <v>1253</v>
      </c>
      <c r="EZ20" t="s">
        <v>1253</v>
      </c>
      <c r="FA20" t="s">
        <v>1253</v>
      </c>
      <c r="FM20" t="s">
        <v>64</v>
      </c>
      <c r="FQ20" t="s">
        <v>1253</v>
      </c>
      <c r="FR20" t="s">
        <v>1253</v>
      </c>
      <c r="HF20" t="s">
        <v>2322</v>
      </c>
      <c r="HG20" t="s">
        <v>2322</v>
      </c>
    </row>
    <row r="21" spans="51:216">
      <c r="AY21" t="s">
        <v>70</v>
      </c>
      <c r="AZ21" t="s">
        <v>954</v>
      </c>
      <c r="BB21" t="s">
        <v>71</v>
      </c>
      <c r="BU21" t="s">
        <v>1254</v>
      </c>
      <c r="BV21" t="s">
        <v>1254</v>
      </c>
      <c r="BW21" t="s">
        <v>303</v>
      </c>
      <c r="BX21" t="s">
        <v>303</v>
      </c>
      <c r="BY21" t="s">
        <v>70</v>
      </c>
      <c r="BZ21" t="s">
        <v>70</v>
      </c>
      <c r="CA21" t="s">
        <v>70</v>
      </c>
      <c r="CB21" t="s">
        <v>70</v>
      </c>
      <c r="CG21" t="s">
        <v>1314</v>
      </c>
      <c r="CH21" t="s">
        <v>67</v>
      </c>
      <c r="CI21" t="s">
        <v>68</v>
      </c>
      <c r="CM21" t="s">
        <v>2323</v>
      </c>
      <c r="CP21" t="s">
        <v>67</v>
      </c>
      <c r="DC21" t="s">
        <v>2323</v>
      </c>
      <c r="EP21" t="s">
        <v>72</v>
      </c>
      <c r="EQ21" t="s">
        <v>72</v>
      </c>
      <c r="EU21" t="s">
        <v>1254</v>
      </c>
      <c r="EV21" t="s">
        <v>1254</v>
      </c>
      <c r="EZ21" t="s">
        <v>1254</v>
      </c>
      <c r="FA21" t="s">
        <v>1254</v>
      </c>
      <c r="FM21" t="s">
        <v>67</v>
      </c>
      <c r="FQ21" t="s">
        <v>1254</v>
      </c>
      <c r="FR21" t="s">
        <v>1254</v>
      </c>
      <c r="HF21" t="s">
        <v>2323</v>
      </c>
      <c r="HG21" t="s">
        <v>2323</v>
      </c>
    </row>
    <row r="22" spans="51:216">
      <c r="AY22" t="s">
        <v>72</v>
      </c>
      <c r="AZ22" t="s">
        <v>955</v>
      </c>
      <c r="BB22" t="s">
        <v>1125</v>
      </c>
      <c r="BU22" t="s">
        <v>1255</v>
      </c>
      <c r="BV22" t="s">
        <v>1255</v>
      </c>
      <c r="BW22" t="s">
        <v>305</v>
      </c>
      <c r="BX22" t="s">
        <v>305</v>
      </c>
      <c r="BY22" t="s">
        <v>72</v>
      </c>
      <c r="BZ22" t="s">
        <v>72</v>
      </c>
      <c r="CA22" t="s">
        <v>72</v>
      </c>
      <c r="CB22" t="s">
        <v>72</v>
      </c>
      <c r="CG22" t="s">
        <v>1315</v>
      </c>
      <c r="CH22" t="s">
        <v>70</v>
      </c>
      <c r="CI22" t="s">
        <v>71</v>
      </c>
      <c r="CM22" t="s">
        <v>2324</v>
      </c>
      <c r="CP22" t="s">
        <v>70</v>
      </c>
      <c r="DC22" t="s">
        <v>2324</v>
      </c>
      <c r="EP22" t="s">
        <v>78</v>
      </c>
      <c r="EQ22" t="s">
        <v>78</v>
      </c>
      <c r="EU22" t="s">
        <v>1255</v>
      </c>
      <c r="EV22" t="s">
        <v>1255</v>
      </c>
      <c r="EZ22" t="s">
        <v>1255</v>
      </c>
      <c r="FA22" t="s">
        <v>1255</v>
      </c>
      <c r="FM22" t="s">
        <v>70</v>
      </c>
      <c r="FQ22" t="s">
        <v>1255</v>
      </c>
      <c r="FR22" t="s">
        <v>1255</v>
      </c>
      <c r="HF22" t="s">
        <v>2324</v>
      </c>
      <c r="HG22" t="s">
        <v>2324</v>
      </c>
    </row>
    <row r="23" spans="51:216">
      <c r="AY23" t="s">
        <v>75</v>
      </c>
      <c r="AZ23" t="s">
        <v>956</v>
      </c>
      <c r="BB23" t="s">
        <v>73</v>
      </c>
      <c r="BU23" t="s">
        <v>1256</v>
      </c>
      <c r="BV23" t="s">
        <v>1256</v>
      </c>
      <c r="BW23" t="s">
        <v>322</v>
      </c>
      <c r="BX23" t="s">
        <v>322</v>
      </c>
      <c r="BY23" t="s">
        <v>78</v>
      </c>
      <c r="BZ23" t="s">
        <v>78</v>
      </c>
      <c r="CA23" t="s">
        <v>75</v>
      </c>
      <c r="CB23" t="s">
        <v>75</v>
      </c>
      <c r="CG23" t="s">
        <v>1316</v>
      </c>
      <c r="CH23" t="s">
        <v>72</v>
      </c>
      <c r="CI23" t="s">
        <v>1125</v>
      </c>
      <c r="CM23" t="s">
        <v>2325</v>
      </c>
      <c r="CP23" t="s">
        <v>72</v>
      </c>
      <c r="DC23" t="s">
        <v>2325</v>
      </c>
      <c r="EP23" t="s">
        <v>80</v>
      </c>
      <c r="EQ23" t="s">
        <v>80</v>
      </c>
      <c r="EU23" t="s">
        <v>1256</v>
      </c>
      <c r="EV23" t="s">
        <v>1256</v>
      </c>
      <c r="EZ23" t="s">
        <v>1256</v>
      </c>
      <c r="FA23" t="s">
        <v>1256</v>
      </c>
      <c r="FM23" t="s">
        <v>72</v>
      </c>
      <c r="FQ23" t="s">
        <v>1256</v>
      </c>
      <c r="FR23" t="s">
        <v>1256</v>
      </c>
      <c r="HF23" t="s">
        <v>2325</v>
      </c>
      <c r="HG23" t="s">
        <v>2325</v>
      </c>
    </row>
    <row r="24" spans="51:216">
      <c r="AY24" t="s">
        <v>78</v>
      </c>
      <c r="AZ24" t="s">
        <v>957</v>
      </c>
      <c r="BB24" t="s">
        <v>77</v>
      </c>
      <c r="BU24" t="s">
        <v>1257</v>
      </c>
      <c r="BV24" t="s">
        <v>1257</v>
      </c>
      <c r="BW24" t="s">
        <v>360</v>
      </c>
      <c r="BX24" t="s">
        <v>360</v>
      </c>
      <c r="BY24" t="s">
        <v>80</v>
      </c>
      <c r="BZ24" t="s">
        <v>80</v>
      </c>
      <c r="CA24" t="s">
        <v>78</v>
      </c>
      <c r="CB24" t="s">
        <v>78</v>
      </c>
      <c r="CG24" t="s">
        <v>1317</v>
      </c>
      <c r="CH24" t="s">
        <v>75</v>
      </c>
      <c r="CI24" t="s">
        <v>73</v>
      </c>
      <c r="CM24" t="s">
        <v>2326</v>
      </c>
      <c r="CP24" t="s">
        <v>75</v>
      </c>
      <c r="DC24" t="s">
        <v>2326</v>
      </c>
      <c r="EP24" t="s">
        <v>83</v>
      </c>
      <c r="EQ24" t="s">
        <v>83</v>
      </c>
      <c r="EU24" t="s">
        <v>1257</v>
      </c>
      <c r="EV24" t="s">
        <v>1257</v>
      </c>
      <c r="EZ24" t="s">
        <v>1257</v>
      </c>
      <c r="FA24" t="s">
        <v>1257</v>
      </c>
      <c r="FM24" t="s">
        <v>75</v>
      </c>
      <c r="FQ24" t="s">
        <v>1257</v>
      </c>
      <c r="FR24" t="s">
        <v>1257</v>
      </c>
      <c r="HF24" t="s">
        <v>2326</v>
      </c>
      <c r="HG24" t="s">
        <v>2326</v>
      </c>
    </row>
    <row r="25" spans="51:216">
      <c r="AY25" t="s">
        <v>80</v>
      </c>
      <c r="AZ25" t="s">
        <v>958</v>
      </c>
      <c r="BB25" t="s">
        <v>79</v>
      </c>
      <c r="BU25" t="s">
        <v>1258</v>
      </c>
      <c r="BV25" t="s">
        <v>1258</v>
      </c>
      <c r="BW25" t="s">
        <v>376</v>
      </c>
      <c r="BX25" t="s">
        <v>376</v>
      </c>
      <c r="BY25" t="s">
        <v>83</v>
      </c>
      <c r="BZ25" t="s">
        <v>83</v>
      </c>
      <c r="CA25" t="s">
        <v>80</v>
      </c>
      <c r="CB25" t="s">
        <v>80</v>
      </c>
      <c r="CG25" t="s">
        <v>1318</v>
      </c>
      <c r="CH25" t="s">
        <v>78</v>
      </c>
      <c r="CI25" t="s">
        <v>77</v>
      </c>
      <c r="CM25" t="s">
        <v>2327</v>
      </c>
      <c r="CP25" t="s">
        <v>78</v>
      </c>
      <c r="DC25" t="s">
        <v>2327</v>
      </c>
      <c r="EP25" t="s">
        <v>85</v>
      </c>
      <c r="EQ25" t="s">
        <v>85</v>
      </c>
      <c r="EU25" t="s">
        <v>1258</v>
      </c>
      <c r="EV25" t="s">
        <v>1258</v>
      </c>
      <c r="EZ25" t="s">
        <v>1258</v>
      </c>
      <c r="FA25" t="s">
        <v>1258</v>
      </c>
      <c r="FM25" t="s">
        <v>78</v>
      </c>
      <c r="FQ25" t="s">
        <v>1258</v>
      </c>
      <c r="FR25" t="s">
        <v>1258</v>
      </c>
      <c r="HF25" t="s">
        <v>2327</v>
      </c>
      <c r="HG25" t="s">
        <v>2327</v>
      </c>
    </row>
    <row r="26" spans="51:216">
      <c r="AY26" t="s">
        <v>85</v>
      </c>
      <c r="AZ26" t="s">
        <v>959</v>
      </c>
      <c r="BB26" t="s">
        <v>81</v>
      </c>
      <c r="BU26" t="s">
        <v>1259</v>
      </c>
      <c r="BV26" t="s">
        <v>1259</v>
      </c>
      <c r="BW26" t="s">
        <v>388</v>
      </c>
      <c r="BX26" t="s">
        <v>388</v>
      </c>
      <c r="BY26" t="s">
        <v>85</v>
      </c>
      <c r="BZ26" t="s">
        <v>85</v>
      </c>
      <c r="CA26" t="s">
        <v>83</v>
      </c>
      <c r="CB26" t="s">
        <v>83</v>
      </c>
      <c r="CG26" t="s">
        <v>1319</v>
      </c>
      <c r="CH26" t="s">
        <v>80</v>
      </c>
      <c r="CI26" t="s">
        <v>79</v>
      </c>
      <c r="CM26" t="s">
        <v>2328</v>
      </c>
      <c r="CP26" t="s">
        <v>80</v>
      </c>
      <c r="DC26" t="s">
        <v>2328</v>
      </c>
      <c r="EP26" t="s">
        <v>88</v>
      </c>
      <c r="EQ26" t="s">
        <v>88</v>
      </c>
      <c r="EU26" t="s">
        <v>1259</v>
      </c>
      <c r="EV26" t="s">
        <v>1259</v>
      </c>
      <c r="EZ26" t="s">
        <v>1259</v>
      </c>
      <c r="FA26" t="s">
        <v>1259</v>
      </c>
      <c r="FM26" t="s">
        <v>80</v>
      </c>
      <c r="FQ26" t="s">
        <v>1259</v>
      </c>
      <c r="FR26" t="s">
        <v>1259</v>
      </c>
      <c r="HF26" t="s">
        <v>2328</v>
      </c>
      <c r="HG26" t="s">
        <v>2328</v>
      </c>
    </row>
    <row r="27" spans="51:216">
      <c r="AY27" t="s">
        <v>88</v>
      </c>
      <c r="AZ27" t="s">
        <v>960</v>
      </c>
      <c r="BB27" t="s">
        <v>84</v>
      </c>
      <c r="BU27" t="s">
        <v>1260</v>
      </c>
      <c r="BV27" t="s">
        <v>1260</v>
      </c>
      <c r="BW27" t="s">
        <v>389</v>
      </c>
      <c r="BX27" t="s">
        <v>389</v>
      </c>
      <c r="BY27" t="s">
        <v>88</v>
      </c>
      <c r="BZ27" t="s">
        <v>88</v>
      </c>
      <c r="CA27" t="s">
        <v>85</v>
      </c>
      <c r="CB27" t="s">
        <v>85</v>
      </c>
      <c r="CG27" t="s">
        <v>1320</v>
      </c>
      <c r="CH27" t="s">
        <v>83</v>
      </c>
      <c r="CI27" t="s">
        <v>81</v>
      </c>
      <c r="CM27" t="s">
        <v>2329</v>
      </c>
      <c r="CP27" t="s">
        <v>83</v>
      </c>
      <c r="DC27" t="s">
        <v>2329</v>
      </c>
      <c r="EP27" t="s">
        <v>919</v>
      </c>
      <c r="EQ27" t="s">
        <v>919</v>
      </c>
      <c r="EU27" t="s">
        <v>1260</v>
      </c>
      <c r="EV27" t="s">
        <v>1260</v>
      </c>
      <c r="EZ27" t="s">
        <v>1260</v>
      </c>
      <c r="FA27" t="s">
        <v>1260</v>
      </c>
      <c r="FM27" t="s">
        <v>83</v>
      </c>
      <c r="FQ27" t="s">
        <v>1260</v>
      </c>
      <c r="FR27" t="s">
        <v>1260</v>
      </c>
      <c r="HF27" t="s">
        <v>2329</v>
      </c>
      <c r="HG27" t="s">
        <v>2329</v>
      </c>
    </row>
    <row r="28" spans="51:216">
      <c r="AY28" t="s">
        <v>919</v>
      </c>
      <c r="AZ28" t="s">
        <v>961</v>
      </c>
      <c r="BB28" t="s">
        <v>1126</v>
      </c>
      <c r="BU28" t="s">
        <v>1261</v>
      </c>
      <c r="BV28" t="s">
        <v>1261</v>
      </c>
      <c r="BW28" t="s">
        <v>393</v>
      </c>
      <c r="BX28" t="s">
        <v>393</v>
      </c>
      <c r="BY28" t="s">
        <v>919</v>
      </c>
      <c r="BZ28" t="s">
        <v>919</v>
      </c>
      <c r="CA28" t="s">
        <v>88</v>
      </c>
      <c r="CB28" t="s">
        <v>88</v>
      </c>
      <c r="CG28" t="s">
        <v>1321</v>
      </c>
      <c r="CH28" t="s">
        <v>85</v>
      </c>
      <c r="CI28" t="s">
        <v>84</v>
      </c>
      <c r="CM28" t="s">
        <v>2330</v>
      </c>
      <c r="CP28" t="s">
        <v>85</v>
      </c>
      <c r="DC28" t="s">
        <v>2330</v>
      </c>
      <c r="EP28" t="s">
        <v>920</v>
      </c>
      <c r="EQ28" t="s">
        <v>920</v>
      </c>
      <c r="EU28" t="s">
        <v>1261</v>
      </c>
      <c r="EV28" t="s">
        <v>1261</v>
      </c>
      <c r="EZ28" t="s">
        <v>1261</v>
      </c>
      <c r="FA28" t="s">
        <v>1261</v>
      </c>
      <c r="FM28" t="s">
        <v>85</v>
      </c>
      <c r="FQ28" t="s">
        <v>1261</v>
      </c>
      <c r="FR28" t="s">
        <v>1261</v>
      </c>
      <c r="HF28" t="s">
        <v>2330</v>
      </c>
      <c r="HG28" t="s">
        <v>2330</v>
      </c>
    </row>
    <row r="29" spans="51:216">
      <c r="AY29" t="s">
        <v>920</v>
      </c>
      <c r="AZ29" t="s">
        <v>962</v>
      </c>
      <c r="BB29" t="s">
        <v>86</v>
      </c>
      <c r="BU29" t="s">
        <v>1262</v>
      </c>
      <c r="BV29" t="s">
        <v>1262</v>
      </c>
      <c r="BW29" t="s">
        <v>413</v>
      </c>
      <c r="BX29" t="s">
        <v>413</v>
      </c>
      <c r="BY29" t="s">
        <v>920</v>
      </c>
      <c r="BZ29" t="s">
        <v>920</v>
      </c>
      <c r="CA29" t="s">
        <v>919</v>
      </c>
      <c r="CB29" t="s">
        <v>919</v>
      </c>
      <c r="CG29" t="s">
        <v>1322</v>
      </c>
      <c r="CH29" t="s">
        <v>88</v>
      </c>
      <c r="CI29" t="s">
        <v>1126</v>
      </c>
      <c r="CM29" t="s">
        <v>2331</v>
      </c>
      <c r="CP29" t="s">
        <v>88</v>
      </c>
      <c r="DC29" t="s">
        <v>2331</v>
      </c>
      <c r="EP29" t="s">
        <v>921</v>
      </c>
      <c r="EQ29" t="s">
        <v>921</v>
      </c>
      <c r="EU29" t="s">
        <v>1262</v>
      </c>
      <c r="EV29" t="s">
        <v>1262</v>
      </c>
      <c r="EZ29" t="s">
        <v>1262</v>
      </c>
      <c r="FA29" t="s">
        <v>1262</v>
      </c>
      <c r="FM29" t="s">
        <v>88</v>
      </c>
      <c r="FQ29" t="s">
        <v>1262</v>
      </c>
      <c r="FR29" t="s">
        <v>1262</v>
      </c>
      <c r="HF29" t="s">
        <v>2331</v>
      </c>
      <c r="HG29" t="s">
        <v>2331</v>
      </c>
    </row>
    <row r="30" spans="51:216">
      <c r="AY30" t="s">
        <v>921</v>
      </c>
      <c r="AZ30" t="s">
        <v>963</v>
      </c>
      <c r="BB30" t="s">
        <v>89</v>
      </c>
      <c r="BU30" t="s">
        <v>1263</v>
      </c>
      <c r="BV30" t="s">
        <v>1263</v>
      </c>
      <c r="BW30" t="s">
        <v>414</v>
      </c>
      <c r="BX30" t="s">
        <v>414</v>
      </c>
      <c r="BY30" t="s">
        <v>921</v>
      </c>
      <c r="BZ30" t="s">
        <v>921</v>
      </c>
      <c r="CA30" t="s">
        <v>920</v>
      </c>
      <c r="CB30" t="s">
        <v>920</v>
      </c>
      <c r="CG30" t="s">
        <v>1323</v>
      </c>
      <c r="CH30" t="s">
        <v>919</v>
      </c>
      <c r="CI30" t="s">
        <v>86</v>
      </c>
      <c r="CM30" t="s">
        <v>2332</v>
      </c>
      <c r="CP30" t="s">
        <v>919</v>
      </c>
      <c r="DC30" t="s">
        <v>2332</v>
      </c>
      <c r="EP30" t="s">
        <v>922</v>
      </c>
      <c r="EQ30" t="s">
        <v>922</v>
      </c>
      <c r="EZ30" t="s">
        <v>1263</v>
      </c>
      <c r="FA30" t="s">
        <v>1263</v>
      </c>
      <c r="FM30" t="s">
        <v>919</v>
      </c>
      <c r="FQ30" t="s">
        <v>1264</v>
      </c>
      <c r="FR30" t="s">
        <v>1264</v>
      </c>
      <c r="HF30" t="s">
        <v>2332</v>
      </c>
      <c r="HG30" t="s">
        <v>2332</v>
      </c>
    </row>
    <row r="31" spans="51:216">
      <c r="AY31" t="s">
        <v>922</v>
      </c>
      <c r="AZ31" t="s">
        <v>964</v>
      </c>
      <c r="BB31" t="s">
        <v>1127</v>
      </c>
      <c r="BU31" t="s">
        <v>1264</v>
      </c>
      <c r="BV31" t="s">
        <v>1264</v>
      </c>
      <c r="BW31" t="s">
        <v>420</v>
      </c>
      <c r="BX31" t="s">
        <v>420</v>
      </c>
      <c r="BY31" t="s">
        <v>922</v>
      </c>
      <c r="BZ31" t="s">
        <v>922</v>
      </c>
      <c r="CA31" t="s">
        <v>921</v>
      </c>
      <c r="CB31" t="s">
        <v>921</v>
      </c>
      <c r="CG31" t="s">
        <v>1324</v>
      </c>
      <c r="CH31" t="s">
        <v>920</v>
      </c>
      <c r="CI31" t="s">
        <v>89</v>
      </c>
      <c r="CM31" t="s">
        <v>2333</v>
      </c>
      <c r="CP31" t="s">
        <v>920</v>
      </c>
      <c r="DC31" t="s">
        <v>2333</v>
      </c>
      <c r="EP31" t="s">
        <v>90</v>
      </c>
      <c r="EQ31" t="s">
        <v>90</v>
      </c>
      <c r="EZ31" t="s">
        <v>1264</v>
      </c>
      <c r="FA31" t="s">
        <v>1264</v>
      </c>
      <c r="FM31" t="s">
        <v>920</v>
      </c>
      <c r="FQ31" t="s">
        <v>1265</v>
      </c>
      <c r="FR31" t="s">
        <v>1265</v>
      </c>
      <c r="HF31" t="s">
        <v>2333</v>
      </c>
      <c r="HG31" t="s">
        <v>2333</v>
      </c>
    </row>
    <row r="32" spans="51:216">
      <c r="AY32" t="s">
        <v>90</v>
      </c>
      <c r="AZ32" t="s">
        <v>965</v>
      </c>
      <c r="BB32" t="s">
        <v>1128</v>
      </c>
      <c r="BU32" t="s">
        <v>1265</v>
      </c>
      <c r="BV32" t="s">
        <v>1265</v>
      </c>
      <c r="BW32" t="s">
        <v>426</v>
      </c>
      <c r="BX32" t="s">
        <v>426</v>
      </c>
      <c r="BY32" t="s">
        <v>90</v>
      </c>
      <c r="BZ32" t="s">
        <v>90</v>
      </c>
      <c r="CA32" t="s">
        <v>922</v>
      </c>
      <c r="CB32" t="s">
        <v>922</v>
      </c>
      <c r="CG32" t="s">
        <v>1325</v>
      </c>
      <c r="CH32" t="s">
        <v>921</v>
      </c>
      <c r="CI32" t="s">
        <v>1127</v>
      </c>
      <c r="CM32" t="s">
        <v>2334</v>
      </c>
      <c r="CP32" t="s">
        <v>921</v>
      </c>
      <c r="DC32" t="s">
        <v>2334</v>
      </c>
      <c r="EP32" t="s">
        <v>93</v>
      </c>
      <c r="EQ32" t="s">
        <v>93</v>
      </c>
      <c r="EZ32" t="s">
        <v>1265</v>
      </c>
      <c r="FA32" t="s">
        <v>1265</v>
      </c>
      <c r="FM32" t="s">
        <v>921</v>
      </c>
      <c r="FQ32" t="s">
        <v>1266</v>
      </c>
      <c r="FR32" t="s">
        <v>1266</v>
      </c>
      <c r="HF32" t="s">
        <v>2334</v>
      </c>
      <c r="HG32" t="s">
        <v>2334</v>
      </c>
    </row>
    <row r="33" spans="51:215">
      <c r="AY33" t="s">
        <v>95</v>
      </c>
      <c r="AZ33" t="s">
        <v>966</v>
      </c>
      <c r="BB33" t="s">
        <v>1129</v>
      </c>
      <c r="BU33" t="s">
        <v>1266</v>
      </c>
      <c r="BV33" t="s">
        <v>1266</v>
      </c>
      <c r="BY33" t="s">
        <v>93</v>
      </c>
      <c r="BZ33" t="s">
        <v>93</v>
      </c>
      <c r="CA33" t="s">
        <v>90</v>
      </c>
      <c r="CB33" t="s">
        <v>90</v>
      </c>
      <c r="CG33" t="s">
        <v>1326</v>
      </c>
      <c r="CH33" t="s">
        <v>922</v>
      </c>
      <c r="CI33" t="s">
        <v>1128</v>
      </c>
      <c r="CM33" t="s">
        <v>2335</v>
      </c>
      <c r="CP33" t="s">
        <v>922</v>
      </c>
      <c r="DC33" t="s">
        <v>2335</v>
      </c>
      <c r="EP33" t="s">
        <v>95</v>
      </c>
      <c r="EQ33" t="s">
        <v>95</v>
      </c>
      <c r="EZ33" t="s">
        <v>1266</v>
      </c>
      <c r="FA33" t="s">
        <v>1266</v>
      </c>
      <c r="FM33" t="s">
        <v>922</v>
      </c>
      <c r="FQ33" t="s">
        <v>1267</v>
      </c>
      <c r="FR33" t="s">
        <v>1267</v>
      </c>
      <c r="HF33" t="s">
        <v>2335</v>
      </c>
      <c r="HG33" t="s">
        <v>2335</v>
      </c>
    </row>
    <row r="34" spans="51:215">
      <c r="AY34" t="s">
        <v>98</v>
      </c>
      <c r="AZ34" t="s">
        <v>967</v>
      </c>
      <c r="BB34" t="s">
        <v>1130</v>
      </c>
      <c r="BU34" t="s">
        <v>1267</v>
      </c>
      <c r="BV34" t="s">
        <v>1267</v>
      </c>
      <c r="BY34" t="s">
        <v>95</v>
      </c>
      <c r="BZ34" t="s">
        <v>95</v>
      </c>
      <c r="CA34" t="s">
        <v>93</v>
      </c>
      <c r="CB34" t="s">
        <v>93</v>
      </c>
      <c r="CG34" t="s">
        <v>1327</v>
      </c>
      <c r="CH34" t="s">
        <v>90</v>
      </c>
      <c r="CI34" t="s">
        <v>1129</v>
      </c>
      <c r="CM34" t="s">
        <v>2336</v>
      </c>
      <c r="CP34" t="s">
        <v>90</v>
      </c>
      <c r="DC34" t="s">
        <v>2336</v>
      </c>
      <c r="EP34" t="s">
        <v>100</v>
      </c>
      <c r="EQ34" t="s">
        <v>100</v>
      </c>
      <c r="EZ34" t="s">
        <v>1267</v>
      </c>
      <c r="FA34" t="s">
        <v>1267</v>
      </c>
      <c r="FM34" t="s">
        <v>90</v>
      </c>
      <c r="FQ34" t="s">
        <v>1268</v>
      </c>
      <c r="FR34" t="s">
        <v>1268</v>
      </c>
      <c r="HF34" t="s">
        <v>2336</v>
      </c>
      <c r="HG34" t="s">
        <v>2336</v>
      </c>
    </row>
    <row r="35" spans="51:215">
      <c r="AY35" t="s">
        <v>100</v>
      </c>
      <c r="AZ35" t="s">
        <v>968</v>
      </c>
      <c r="BB35" t="s">
        <v>1131</v>
      </c>
      <c r="BU35" t="s">
        <v>1268</v>
      </c>
      <c r="BV35" t="s">
        <v>1268</v>
      </c>
      <c r="BY35" t="s">
        <v>100</v>
      </c>
      <c r="BZ35" t="s">
        <v>100</v>
      </c>
      <c r="CA35" t="s">
        <v>95</v>
      </c>
      <c r="CB35" t="s">
        <v>95</v>
      </c>
      <c r="CG35" t="s">
        <v>1328</v>
      </c>
      <c r="CH35" t="s">
        <v>93</v>
      </c>
      <c r="CI35" t="s">
        <v>1130</v>
      </c>
      <c r="CM35" t="s">
        <v>2337</v>
      </c>
      <c r="CP35" t="s">
        <v>93</v>
      </c>
      <c r="DC35" t="s">
        <v>2337</v>
      </c>
      <c r="EP35" t="s">
        <v>103</v>
      </c>
      <c r="EQ35" t="s">
        <v>103</v>
      </c>
      <c r="EZ35" t="s">
        <v>1268</v>
      </c>
      <c r="FA35" t="s">
        <v>1268</v>
      </c>
      <c r="FM35" t="s">
        <v>93</v>
      </c>
      <c r="FQ35" t="s">
        <v>1270</v>
      </c>
      <c r="FR35" t="s">
        <v>1270</v>
      </c>
      <c r="HF35" t="s">
        <v>2337</v>
      </c>
      <c r="HG35" t="s">
        <v>2337</v>
      </c>
    </row>
    <row r="36" spans="51:215">
      <c r="AY36" t="s">
        <v>103</v>
      </c>
      <c r="AZ36" t="s">
        <v>969</v>
      </c>
      <c r="BB36" t="s">
        <v>1132</v>
      </c>
      <c r="BU36" t="s">
        <v>1269</v>
      </c>
      <c r="BV36" t="s">
        <v>1269</v>
      </c>
      <c r="BY36" t="s">
        <v>103</v>
      </c>
      <c r="BZ36" t="s">
        <v>103</v>
      </c>
      <c r="CA36" t="s">
        <v>98</v>
      </c>
      <c r="CB36" t="s">
        <v>98</v>
      </c>
      <c r="CG36" t="s">
        <v>1329</v>
      </c>
      <c r="CH36" t="s">
        <v>95</v>
      </c>
      <c r="CI36" t="s">
        <v>1131</v>
      </c>
      <c r="CM36" t="s">
        <v>2338</v>
      </c>
      <c r="CP36" t="s">
        <v>95</v>
      </c>
      <c r="DC36" t="s">
        <v>2338</v>
      </c>
      <c r="EP36" t="s">
        <v>105</v>
      </c>
      <c r="EQ36" t="s">
        <v>105</v>
      </c>
      <c r="EZ36" t="s">
        <v>1269</v>
      </c>
      <c r="FA36" t="s">
        <v>1269</v>
      </c>
      <c r="FM36" t="s">
        <v>95</v>
      </c>
      <c r="FQ36" t="s">
        <v>1269</v>
      </c>
      <c r="FR36" t="s">
        <v>1269</v>
      </c>
      <c r="HF36" t="s">
        <v>2338</v>
      </c>
      <c r="HG36" t="s">
        <v>2338</v>
      </c>
    </row>
    <row r="37" spans="51:215">
      <c r="AY37" t="s">
        <v>105</v>
      </c>
      <c r="AZ37" t="s">
        <v>970</v>
      </c>
      <c r="BB37" t="s">
        <v>1133</v>
      </c>
      <c r="BU37" t="s">
        <v>1270</v>
      </c>
      <c r="BV37" t="s">
        <v>1270</v>
      </c>
      <c r="BY37" t="s">
        <v>105</v>
      </c>
      <c r="BZ37" t="s">
        <v>105</v>
      </c>
      <c r="CA37" t="s">
        <v>100</v>
      </c>
      <c r="CB37" t="s">
        <v>100</v>
      </c>
      <c r="CG37" t="s">
        <v>1330</v>
      </c>
      <c r="CH37" t="s">
        <v>98</v>
      </c>
      <c r="CI37" t="s">
        <v>1132</v>
      </c>
      <c r="CM37" t="s">
        <v>2339</v>
      </c>
      <c r="CP37" t="s">
        <v>98</v>
      </c>
      <c r="DC37" t="s">
        <v>2339</v>
      </c>
      <c r="EP37" t="s">
        <v>109</v>
      </c>
      <c r="EQ37" t="s">
        <v>109</v>
      </c>
      <c r="EZ37" t="s">
        <v>1270</v>
      </c>
      <c r="FA37" t="s">
        <v>1270</v>
      </c>
      <c r="FM37" t="s">
        <v>98</v>
      </c>
      <c r="FQ37" t="s">
        <v>1263</v>
      </c>
      <c r="FR37" t="s">
        <v>1263</v>
      </c>
      <c r="HF37" t="s">
        <v>2339</v>
      </c>
      <c r="HG37" t="s">
        <v>2339</v>
      </c>
    </row>
    <row r="38" spans="51:215">
      <c r="AY38" t="s">
        <v>109</v>
      </c>
      <c r="AZ38" t="s">
        <v>971</v>
      </c>
      <c r="BB38" t="s">
        <v>91</v>
      </c>
      <c r="BY38" t="s">
        <v>109</v>
      </c>
      <c r="BZ38" t="s">
        <v>109</v>
      </c>
      <c r="CA38" t="s">
        <v>103</v>
      </c>
      <c r="CB38" t="s">
        <v>103</v>
      </c>
      <c r="CG38" t="s">
        <v>1331</v>
      </c>
      <c r="CH38" t="s">
        <v>100</v>
      </c>
      <c r="CI38" t="s">
        <v>1133</v>
      </c>
      <c r="CM38" t="s">
        <v>2340</v>
      </c>
      <c r="CP38" t="s">
        <v>100</v>
      </c>
      <c r="DC38" t="s">
        <v>2340</v>
      </c>
      <c r="EP38" t="s">
        <v>111</v>
      </c>
      <c r="EQ38" t="s">
        <v>111</v>
      </c>
      <c r="EZ38" t="s">
        <v>2609</v>
      </c>
      <c r="FA38" t="s">
        <v>2609</v>
      </c>
      <c r="FM38" t="s">
        <v>100</v>
      </c>
      <c r="HF38" t="s">
        <v>2340</v>
      </c>
      <c r="HG38" t="s">
        <v>2340</v>
      </c>
    </row>
    <row r="39" spans="51:215">
      <c r="AY39" t="s">
        <v>111</v>
      </c>
      <c r="AZ39" t="s">
        <v>972</v>
      </c>
      <c r="BB39" t="s">
        <v>1134</v>
      </c>
      <c r="BY39" t="s">
        <v>111</v>
      </c>
      <c r="BZ39" t="s">
        <v>111</v>
      </c>
      <c r="CA39" t="s">
        <v>105</v>
      </c>
      <c r="CB39" t="s">
        <v>105</v>
      </c>
      <c r="CG39" t="s">
        <v>1332</v>
      </c>
      <c r="CH39" t="s">
        <v>103</v>
      </c>
      <c r="CI39" t="s">
        <v>91</v>
      </c>
      <c r="CM39" t="s">
        <v>2341</v>
      </c>
      <c r="CP39" t="s">
        <v>103</v>
      </c>
      <c r="DC39" t="s">
        <v>2341</v>
      </c>
      <c r="EP39" t="s">
        <v>114</v>
      </c>
      <c r="EQ39" t="s">
        <v>114</v>
      </c>
      <c r="FM39" t="s">
        <v>103</v>
      </c>
      <c r="HF39" t="s">
        <v>2341</v>
      </c>
      <c r="HG39" t="s">
        <v>2341</v>
      </c>
    </row>
    <row r="40" spans="51:215">
      <c r="AY40" t="s">
        <v>114</v>
      </c>
      <c r="AZ40" t="s">
        <v>973</v>
      </c>
      <c r="BB40" t="s">
        <v>94</v>
      </c>
      <c r="BY40" t="s">
        <v>114</v>
      </c>
      <c r="BZ40" t="s">
        <v>114</v>
      </c>
      <c r="CA40" t="s">
        <v>109</v>
      </c>
      <c r="CB40" t="s">
        <v>109</v>
      </c>
      <c r="CG40" t="s">
        <v>1333</v>
      </c>
      <c r="CH40" t="s">
        <v>105</v>
      </c>
      <c r="CI40" t="s">
        <v>1134</v>
      </c>
      <c r="CM40" t="s">
        <v>2342</v>
      </c>
      <c r="CP40" t="s">
        <v>105</v>
      </c>
      <c r="DC40" t="s">
        <v>2342</v>
      </c>
      <c r="EP40" t="s">
        <v>117</v>
      </c>
      <c r="EQ40" t="s">
        <v>117</v>
      </c>
      <c r="FM40" t="s">
        <v>105</v>
      </c>
      <c r="HF40" t="s">
        <v>2342</v>
      </c>
      <c r="HG40" t="s">
        <v>2342</v>
      </c>
    </row>
    <row r="41" spans="51:215">
      <c r="AY41" t="s">
        <v>119</v>
      </c>
      <c r="AZ41" t="s">
        <v>974</v>
      </c>
      <c r="BB41" t="s">
        <v>96</v>
      </c>
      <c r="BY41" t="s">
        <v>117</v>
      </c>
      <c r="BZ41" t="s">
        <v>117</v>
      </c>
      <c r="CA41" t="s">
        <v>111</v>
      </c>
      <c r="CB41" t="s">
        <v>111</v>
      </c>
      <c r="CG41" t="s">
        <v>1334</v>
      </c>
      <c r="CH41" t="s">
        <v>109</v>
      </c>
      <c r="CI41" t="s">
        <v>94</v>
      </c>
      <c r="CM41" t="s">
        <v>2343</v>
      </c>
      <c r="CP41" t="s">
        <v>109</v>
      </c>
      <c r="DC41" t="s">
        <v>2343</v>
      </c>
      <c r="EP41" t="s">
        <v>119</v>
      </c>
      <c r="EQ41" t="s">
        <v>119</v>
      </c>
      <c r="FM41" t="s">
        <v>109</v>
      </c>
      <c r="HF41" t="s">
        <v>2343</v>
      </c>
      <c r="HG41" t="s">
        <v>2343</v>
      </c>
    </row>
    <row r="42" spans="51:215">
      <c r="AY42" t="s">
        <v>122</v>
      </c>
      <c r="AZ42" t="s">
        <v>975</v>
      </c>
      <c r="BB42" t="s">
        <v>99</v>
      </c>
      <c r="BY42" t="s">
        <v>119</v>
      </c>
      <c r="BZ42" t="s">
        <v>119</v>
      </c>
      <c r="CA42" t="s">
        <v>114</v>
      </c>
      <c r="CB42" t="s">
        <v>114</v>
      </c>
      <c r="CG42" t="s">
        <v>1335</v>
      </c>
      <c r="CH42" t="s">
        <v>111</v>
      </c>
      <c r="CI42" t="s">
        <v>96</v>
      </c>
      <c r="CM42" t="s">
        <v>2344</v>
      </c>
      <c r="CP42" t="s">
        <v>111</v>
      </c>
      <c r="DC42" t="s">
        <v>2344</v>
      </c>
      <c r="EP42" t="s">
        <v>122</v>
      </c>
      <c r="EQ42" t="s">
        <v>122</v>
      </c>
      <c r="FM42" t="s">
        <v>111</v>
      </c>
      <c r="HF42" t="s">
        <v>2344</v>
      </c>
      <c r="HG42" t="s">
        <v>2344</v>
      </c>
    </row>
    <row r="43" spans="51:215">
      <c r="AY43" t="s">
        <v>124</v>
      </c>
      <c r="AZ43" t="s">
        <v>976</v>
      </c>
      <c r="BB43" t="s">
        <v>101</v>
      </c>
      <c r="BY43" t="s">
        <v>122</v>
      </c>
      <c r="BZ43" t="s">
        <v>122</v>
      </c>
      <c r="CA43" t="s">
        <v>117</v>
      </c>
      <c r="CB43" t="s">
        <v>117</v>
      </c>
      <c r="CG43" t="s">
        <v>1336</v>
      </c>
      <c r="CH43" t="s">
        <v>114</v>
      </c>
      <c r="CI43" t="s">
        <v>99</v>
      </c>
      <c r="CM43" t="s">
        <v>2345</v>
      </c>
      <c r="CP43" t="s">
        <v>114</v>
      </c>
      <c r="DC43" t="s">
        <v>2345</v>
      </c>
      <c r="EP43" t="s">
        <v>124</v>
      </c>
      <c r="EQ43" t="s">
        <v>124</v>
      </c>
      <c r="FM43" t="s">
        <v>114</v>
      </c>
      <c r="HF43" t="s">
        <v>2345</v>
      </c>
      <c r="HG43" t="s">
        <v>2345</v>
      </c>
    </row>
    <row r="44" spans="51:215">
      <c r="AY44" t="s">
        <v>126</v>
      </c>
      <c r="AZ44" t="s">
        <v>977</v>
      </c>
      <c r="BB44" t="s">
        <v>104</v>
      </c>
      <c r="BY44" t="s">
        <v>124</v>
      </c>
      <c r="BZ44" t="s">
        <v>124</v>
      </c>
      <c r="CA44" t="s">
        <v>119</v>
      </c>
      <c r="CB44" t="s">
        <v>119</v>
      </c>
      <c r="CG44" t="s">
        <v>1337</v>
      </c>
      <c r="CH44" t="s">
        <v>117</v>
      </c>
      <c r="CI44" t="s">
        <v>101</v>
      </c>
      <c r="CM44" t="s">
        <v>2346</v>
      </c>
      <c r="CP44" t="s">
        <v>117</v>
      </c>
      <c r="DC44" t="s">
        <v>2346</v>
      </c>
      <c r="EP44" t="s">
        <v>126</v>
      </c>
      <c r="EQ44" t="s">
        <v>126</v>
      </c>
      <c r="FM44" t="s">
        <v>117</v>
      </c>
      <c r="HF44" t="s">
        <v>2346</v>
      </c>
      <c r="HG44" t="s">
        <v>2346</v>
      </c>
    </row>
    <row r="45" spans="51:215">
      <c r="AY45" t="s">
        <v>128</v>
      </c>
      <c r="AZ45" t="s">
        <v>978</v>
      </c>
      <c r="BB45" t="s">
        <v>106</v>
      </c>
      <c r="BY45" t="s">
        <v>126</v>
      </c>
      <c r="BZ45" t="s">
        <v>126</v>
      </c>
      <c r="CA45" t="s">
        <v>122</v>
      </c>
      <c r="CB45" t="s">
        <v>122</v>
      </c>
      <c r="CG45" t="s">
        <v>1338</v>
      </c>
      <c r="CH45" t="s">
        <v>119</v>
      </c>
      <c r="CI45" t="s">
        <v>104</v>
      </c>
      <c r="CM45" t="s">
        <v>2347</v>
      </c>
      <c r="CP45" t="s">
        <v>119</v>
      </c>
      <c r="DC45" t="s">
        <v>2347</v>
      </c>
      <c r="EP45" t="s">
        <v>128</v>
      </c>
      <c r="EQ45" t="s">
        <v>128</v>
      </c>
      <c r="FM45" t="s">
        <v>119</v>
      </c>
      <c r="HF45" t="s">
        <v>2347</v>
      </c>
      <c r="HG45" t="s">
        <v>2347</v>
      </c>
    </row>
    <row r="46" spans="51:215">
      <c r="AY46" t="s">
        <v>131</v>
      </c>
      <c r="AZ46" t="s">
        <v>979</v>
      </c>
      <c r="BB46" t="s">
        <v>110</v>
      </c>
      <c r="BY46" t="s">
        <v>128</v>
      </c>
      <c r="BZ46" t="s">
        <v>128</v>
      </c>
      <c r="CA46" t="s">
        <v>124</v>
      </c>
      <c r="CB46" t="s">
        <v>124</v>
      </c>
      <c r="CG46" t="s">
        <v>1339</v>
      </c>
      <c r="CH46" t="s">
        <v>122</v>
      </c>
      <c r="CI46" t="s">
        <v>106</v>
      </c>
      <c r="CM46" t="s">
        <v>2348</v>
      </c>
      <c r="CP46" t="s">
        <v>122</v>
      </c>
      <c r="DC46" t="s">
        <v>2348</v>
      </c>
      <c r="EP46" t="s">
        <v>131</v>
      </c>
      <c r="EQ46" t="s">
        <v>131</v>
      </c>
      <c r="FM46" t="s">
        <v>122</v>
      </c>
      <c r="HF46" t="s">
        <v>2348</v>
      </c>
      <c r="HG46" t="s">
        <v>2348</v>
      </c>
    </row>
    <row r="47" spans="51:215">
      <c r="AY47" t="s">
        <v>133</v>
      </c>
      <c r="AZ47" t="s">
        <v>980</v>
      </c>
      <c r="BB47" t="s">
        <v>112</v>
      </c>
      <c r="BY47" t="s">
        <v>131</v>
      </c>
      <c r="BZ47" t="s">
        <v>131</v>
      </c>
      <c r="CA47" t="s">
        <v>126</v>
      </c>
      <c r="CB47" t="s">
        <v>126</v>
      </c>
      <c r="CG47" t="s">
        <v>1340</v>
      </c>
      <c r="CH47" t="s">
        <v>124</v>
      </c>
      <c r="CI47" t="s">
        <v>110</v>
      </c>
      <c r="CM47" t="s">
        <v>2349</v>
      </c>
      <c r="CP47" t="s">
        <v>124</v>
      </c>
      <c r="DC47" t="s">
        <v>2349</v>
      </c>
      <c r="EP47" t="s">
        <v>133</v>
      </c>
      <c r="EQ47" t="s">
        <v>133</v>
      </c>
      <c r="FM47" t="s">
        <v>124</v>
      </c>
      <c r="HF47" t="s">
        <v>2349</v>
      </c>
      <c r="HG47" t="s">
        <v>2349</v>
      </c>
    </row>
    <row r="48" spans="51:215">
      <c r="AY48" t="s">
        <v>136</v>
      </c>
      <c r="AZ48" t="s">
        <v>981</v>
      </c>
      <c r="BB48" t="s">
        <v>115</v>
      </c>
      <c r="BY48" t="s">
        <v>133</v>
      </c>
      <c r="BZ48" t="s">
        <v>133</v>
      </c>
      <c r="CA48" t="s">
        <v>128</v>
      </c>
      <c r="CB48" t="s">
        <v>128</v>
      </c>
      <c r="CG48" t="s">
        <v>1341</v>
      </c>
      <c r="CH48" t="s">
        <v>126</v>
      </c>
      <c r="CI48" t="s">
        <v>112</v>
      </c>
      <c r="CM48" t="s">
        <v>2350</v>
      </c>
      <c r="CP48" t="s">
        <v>126</v>
      </c>
      <c r="DC48" t="s">
        <v>2350</v>
      </c>
      <c r="EP48" t="s">
        <v>136</v>
      </c>
      <c r="EQ48" t="s">
        <v>136</v>
      </c>
      <c r="FM48" t="s">
        <v>126</v>
      </c>
      <c r="HF48" t="s">
        <v>2350</v>
      </c>
      <c r="HG48" t="s">
        <v>2350</v>
      </c>
    </row>
    <row r="49" spans="51:215">
      <c r="AY49" t="s">
        <v>138</v>
      </c>
      <c r="AZ49" t="s">
        <v>982</v>
      </c>
      <c r="BB49" t="s">
        <v>1135</v>
      </c>
      <c r="BY49" t="s">
        <v>136</v>
      </c>
      <c r="BZ49" t="s">
        <v>136</v>
      </c>
      <c r="CA49" t="s">
        <v>131</v>
      </c>
      <c r="CB49" t="s">
        <v>131</v>
      </c>
      <c r="CG49" t="s">
        <v>1342</v>
      </c>
      <c r="CH49" t="s">
        <v>128</v>
      </c>
      <c r="CI49" t="s">
        <v>115</v>
      </c>
      <c r="CM49" t="s">
        <v>2351</v>
      </c>
      <c r="CP49" t="s">
        <v>128</v>
      </c>
      <c r="DC49" t="s">
        <v>2351</v>
      </c>
      <c r="EP49" t="s">
        <v>138</v>
      </c>
      <c r="EQ49" t="s">
        <v>138</v>
      </c>
      <c r="FM49" t="s">
        <v>128</v>
      </c>
      <c r="HF49" t="s">
        <v>2351</v>
      </c>
      <c r="HG49" t="s">
        <v>2351</v>
      </c>
    </row>
    <row r="50" spans="51:215">
      <c r="AY50" t="s">
        <v>142</v>
      </c>
      <c r="AZ50" t="s">
        <v>983</v>
      </c>
      <c r="BB50" t="s">
        <v>118</v>
      </c>
      <c r="BY50" t="s">
        <v>138</v>
      </c>
      <c r="BZ50" t="s">
        <v>138</v>
      </c>
      <c r="CA50" t="s">
        <v>133</v>
      </c>
      <c r="CB50" t="s">
        <v>133</v>
      </c>
      <c r="CG50" t="s">
        <v>1343</v>
      </c>
      <c r="CH50" t="s">
        <v>131</v>
      </c>
      <c r="CI50" t="s">
        <v>1135</v>
      </c>
      <c r="CM50" t="s">
        <v>2352</v>
      </c>
      <c r="CP50" t="s">
        <v>131</v>
      </c>
      <c r="DC50" t="s">
        <v>2352</v>
      </c>
      <c r="EP50" t="s">
        <v>142</v>
      </c>
      <c r="EQ50" t="s">
        <v>142</v>
      </c>
      <c r="FM50" t="s">
        <v>131</v>
      </c>
      <c r="HF50" t="s">
        <v>2352</v>
      </c>
      <c r="HG50" t="s">
        <v>2352</v>
      </c>
    </row>
    <row r="51" spans="51:215">
      <c r="AY51" t="s">
        <v>145</v>
      </c>
      <c r="AZ51" t="s">
        <v>984</v>
      </c>
      <c r="BB51" t="s">
        <v>120</v>
      </c>
      <c r="BY51" t="s">
        <v>142</v>
      </c>
      <c r="BZ51" t="s">
        <v>142</v>
      </c>
      <c r="CA51" t="s">
        <v>136</v>
      </c>
      <c r="CB51" t="s">
        <v>136</v>
      </c>
      <c r="CG51" t="s">
        <v>1344</v>
      </c>
      <c r="CH51" t="s">
        <v>133</v>
      </c>
      <c r="CI51" t="s">
        <v>118</v>
      </c>
      <c r="CM51" t="s">
        <v>2353</v>
      </c>
      <c r="CP51" t="s">
        <v>133</v>
      </c>
      <c r="DC51" t="s">
        <v>2353</v>
      </c>
      <c r="EP51" t="s">
        <v>145</v>
      </c>
      <c r="EQ51" t="s">
        <v>145</v>
      </c>
      <c r="FM51" t="s">
        <v>133</v>
      </c>
      <c r="HF51" t="s">
        <v>2353</v>
      </c>
      <c r="HG51" t="s">
        <v>2353</v>
      </c>
    </row>
    <row r="52" spans="51:215">
      <c r="AY52" t="s">
        <v>149</v>
      </c>
      <c r="AZ52" t="s">
        <v>985</v>
      </c>
      <c r="BB52" t="s">
        <v>123</v>
      </c>
      <c r="BY52" t="s">
        <v>145</v>
      </c>
      <c r="BZ52" t="s">
        <v>145</v>
      </c>
      <c r="CA52" t="s">
        <v>138</v>
      </c>
      <c r="CB52" t="s">
        <v>138</v>
      </c>
      <c r="CG52" t="s">
        <v>1345</v>
      </c>
      <c r="CH52" t="s">
        <v>136</v>
      </c>
      <c r="CI52" t="s">
        <v>120</v>
      </c>
      <c r="CM52" t="s">
        <v>2354</v>
      </c>
      <c r="CP52" t="s">
        <v>136</v>
      </c>
      <c r="DC52" t="s">
        <v>2354</v>
      </c>
      <c r="EP52" t="s">
        <v>149</v>
      </c>
      <c r="EQ52" t="s">
        <v>149</v>
      </c>
      <c r="FM52" t="s">
        <v>136</v>
      </c>
      <c r="HF52" t="s">
        <v>2354</v>
      </c>
      <c r="HG52" t="s">
        <v>2354</v>
      </c>
    </row>
    <row r="53" spans="51:215">
      <c r="AY53" t="s">
        <v>152</v>
      </c>
      <c r="AZ53" t="s">
        <v>986</v>
      </c>
      <c r="BB53" t="s">
        <v>127</v>
      </c>
      <c r="BY53" t="s">
        <v>149</v>
      </c>
      <c r="BZ53" t="s">
        <v>149</v>
      </c>
      <c r="CA53" t="s">
        <v>142</v>
      </c>
      <c r="CB53" t="s">
        <v>142</v>
      </c>
      <c r="CG53" t="s">
        <v>1346</v>
      </c>
      <c r="CH53" t="s">
        <v>138</v>
      </c>
      <c r="CI53" t="s">
        <v>123</v>
      </c>
      <c r="CM53" t="s">
        <v>2355</v>
      </c>
      <c r="CP53" t="s">
        <v>138</v>
      </c>
      <c r="DC53" t="s">
        <v>2355</v>
      </c>
      <c r="EP53" t="s">
        <v>152</v>
      </c>
      <c r="EQ53" t="s">
        <v>152</v>
      </c>
      <c r="FM53" t="s">
        <v>138</v>
      </c>
      <c r="HF53" t="s">
        <v>2355</v>
      </c>
      <c r="HG53" t="s">
        <v>2355</v>
      </c>
    </row>
    <row r="54" spans="51:215">
      <c r="AY54" t="s">
        <v>155</v>
      </c>
      <c r="AZ54" t="s">
        <v>987</v>
      </c>
      <c r="BB54" t="s">
        <v>129</v>
      </c>
      <c r="BY54" t="s">
        <v>152</v>
      </c>
      <c r="BZ54" t="s">
        <v>152</v>
      </c>
      <c r="CA54" t="s">
        <v>145</v>
      </c>
      <c r="CB54" t="s">
        <v>145</v>
      </c>
      <c r="CG54" t="s">
        <v>1347</v>
      </c>
      <c r="CH54" t="s">
        <v>142</v>
      </c>
      <c r="CI54" t="s">
        <v>127</v>
      </c>
      <c r="CM54" t="s">
        <v>2356</v>
      </c>
      <c r="CP54" t="s">
        <v>142</v>
      </c>
      <c r="DC54" t="s">
        <v>2356</v>
      </c>
      <c r="EP54" t="s">
        <v>159</v>
      </c>
      <c r="EQ54" t="s">
        <v>159</v>
      </c>
      <c r="FM54" t="s">
        <v>142</v>
      </c>
      <c r="HF54" t="s">
        <v>2356</v>
      </c>
      <c r="HG54" t="s">
        <v>2356</v>
      </c>
    </row>
    <row r="55" spans="51:215">
      <c r="AY55" t="s">
        <v>159</v>
      </c>
      <c r="AZ55" t="s">
        <v>988</v>
      </c>
      <c r="BB55" t="s">
        <v>132</v>
      </c>
      <c r="BY55" t="s">
        <v>159</v>
      </c>
      <c r="BZ55" t="s">
        <v>159</v>
      </c>
      <c r="CA55" t="s">
        <v>149</v>
      </c>
      <c r="CB55" t="s">
        <v>149</v>
      </c>
      <c r="CG55" t="s">
        <v>1348</v>
      </c>
      <c r="CH55" t="s">
        <v>145</v>
      </c>
      <c r="CI55" t="s">
        <v>129</v>
      </c>
      <c r="CM55" t="s">
        <v>2357</v>
      </c>
      <c r="CP55" t="s">
        <v>145</v>
      </c>
      <c r="DC55" t="s">
        <v>2357</v>
      </c>
      <c r="EP55" t="s">
        <v>161</v>
      </c>
      <c r="EQ55" t="s">
        <v>161</v>
      </c>
      <c r="FM55" t="s">
        <v>145</v>
      </c>
      <c r="HF55" t="s">
        <v>2357</v>
      </c>
      <c r="HG55" t="s">
        <v>2357</v>
      </c>
    </row>
    <row r="56" spans="51:215">
      <c r="AY56" t="s">
        <v>161</v>
      </c>
      <c r="AZ56" t="s">
        <v>989</v>
      </c>
      <c r="BB56" t="s">
        <v>134</v>
      </c>
      <c r="BY56" t="s">
        <v>161</v>
      </c>
      <c r="BZ56" t="s">
        <v>161</v>
      </c>
      <c r="CA56" t="s">
        <v>152</v>
      </c>
      <c r="CB56" t="s">
        <v>152</v>
      </c>
      <c r="CG56" t="s">
        <v>1349</v>
      </c>
      <c r="CH56" t="s">
        <v>149</v>
      </c>
      <c r="CI56" t="s">
        <v>132</v>
      </c>
      <c r="CM56" t="s">
        <v>2358</v>
      </c>
      <c r="CP56" t="s">
        <v>149</v>
      </c>
      <c r="EP56" t="s">
        <v>169</v>
      </c>
      <c r="EQ56" t="s">
        <v>169</v>
      </c>
      <c r="FM56" t="s">
        <v>149</v>
      </c>
      <c r="HF56" t="s">
        <v>2358</v>
      </c>
      <c r="HG56" t="s">
        <v>2764</v>
      </c>
    </row>
    <row r="57" spans="51:215">
      <c r="AY57" t="s">
        <v>163</v>
      </c>
      <c r="AZ57" t="s">
        <v>990</v>
      </c>
      <c r="BB57" t="s">
        <v>139</v>
      </c>
      <c r="BY57" t="s">
        <v>169</v>
      </c>
      <c r="BZ57" t="s">
        <v>169</v>
      </c>
      <c r="CA57" t="s">
        <v>155</v>
      </c>
      <c r="CB57" t="s">
        <v>155</v>
      </c>
      <c r="CG57" t="s">
        <v>1350</v>
      </c>
      <c r="CH57" t="s">
        <v>152</v>
      </c>
      <c r="CI57" t="s">
        <v>134</v>
      </c>
      <c r="CP57" t="s">
        <v>152</v>
      </c>
      <c r="EP57" t="s">
        <v>171</v>
      </c>
      <c r="EQ57" t="s">
        <v>171</v>
      </c>
      <c r="FM57" t="s">
        <v>152</v>
      </c>
      <c r="HF57" t="s">
        <v>2764</v>
      </c>
    </row>
    <row r="58" spans="51:215">
      <c r="AY58" t="s">
        <v>923</v>
      </c>
      <c r="AZ58" t="s">
        <v>991</v>
      </c>
      <c r="BB58" t="s">
        <v>143</v>
      </c>
      <c r="BY58" t="s">
        <v>171</v>
      </c>
      <c r="BZ58" t="s">
        <v>171</v>
      </c>
      <c r="CA58" t="s">
        <v>159</v>
      </c>
      <c r="CB58" t="s">
        <v>159</v>
      </c>
      <c r="CG58" t="s">
        <v>1351</v>
      </c>
      <c r="CH58" t="s">
        <v>155</v>
      </c>
      <c r="CI58" t="s">
        <v>139</v>
      </c>
      <c r="CP58" t="s">
        <v>155</v>
      </c>
      <c r="EP58" t="s">
        <v>173</v>
      </c>
      <c r="EQ58" t="s">
        <v>173</v>
      </c>
      <c r="FM58" t="s">
        <v>155</v>
      </c>
    </row>
    <row r="59" spans="51:215">
      <c r="AY59" t="s">
        <v>167</v>
      </c>
      <c r="AZ59" t="s">
        <v>992</v>
      </c>
      <c r="BB59" t="s">
        <v>146</v>
      </c>
      <c r="BY59" t="s">
        <v>173</v>
      </c>
      <c r="BZ59" t="s">
        <v>173</v>
      </c>
      <c r="CA59" t="s">
        <v>161</v>
      </c>
      <c r="CB59" t="s">
        <v>161</v>
      </c>
      <c r="CG59" t="s">
        <v>1352</v>
      </c>
      <c r="CH59" t="s">
        <v>159</v>
      </c>
      <c r="CI59" t="s">
        <v>143</v>
      </c>
      <c r="CP59" t="s">
        <v>159</v>
      </c>
      <c r="EP59" t="s">
        <v>175</v>
      </c>
      <c r="EQ59" t="s">
        <v>175</v>
      </c>
      <c r="FM59" t="s">
        <v>159</v>
      </c>
    </row>
    <row r="60" spans="51:215">
      <c r="AY60" t="s">
        <v>169</v>
      </c>
      <c r="AZ60" t="s">
        <v>993</v>
      </c>
      <c r="BB60" t="s">
        <v>150</v>
      </c>
      <c r="BY60" t="s">
        <v>175</v>
      </c>
      <c r="BZ60" t="s">
        <v>175</v>
      </c>
      <c r="CA60" t="s">
        <v>163</v>
      </c>
      <c r="CB60" t="s">
        <v>163</v>
      </c>
      <c r="CG60" t="s">
        <v>1353</v>
      </c>
      <c r="CH60" t="s">
        <v>161</v>
      </c>
      <c r="CI60" t="s">
        <v>146</v>
      </c>
      <c r="CP60" t="s">
        <v>161</v>
      </c>
      <c r="EP60" t="s">
        <v>177</v>
      </c>
      <c r="EQ60" t="s">
        <v>177</v>
      </c>
      <c r="FM60" t="s">
        <v>161</v>
      </c>
    </row>
    <row r="61" spans="51:215">
      <c r="AY61" t="s">
        <v>171</v>
      </c>
      <c r="AZ61" t="s">
        <v>994</v>
      </c>
      <c r="BB61" t="s">
        <v>153</v>
      </c>
      <c r="BY61" t="s">
        <v>177</v>
      </c>
      <c r="BZ61" t="s">
        <v>177</v>
      </c>
      <c r="CA61" t="s">
        <v>923</v>
      </c>
      <c r="CB61" t="s">
        <v>923</v>
      </c>
      <c r="CG61" t="s">
        <v>1354</v>
      </c>
      <c r="CH61" t="s">
        <v>163</v>
      </c>
      <c r="CI61" t="s">
        <v>150</v>
      </c>
      <c r="CP61" t="s">
        <v>163</v>
      </c>
      <c r="EP61" t="s">
        <v>179</v>
      </c>
      <c r="EQ61" t="s">
        <v>179</v>
      </c>
      <c r="FM61" t="s">
        <v>163</v>
      </c>
    </row>
    <row r="62" spans="51:215">
      <c r="AY62" t="s">
        <v>173</v>
      </c>
      <c r="AZ62" t="s">
        <v>995</v>
      </c>
      <c r="BB62" t="s">
        <v>156</v>
      </c>
      <c r="BY62" t="s">
        <v>179</v>
      </c>
      <c r="BZ62" t="s">
        <v>179</v>
      </c>
      <c r="CA62" t="s">
        <v>167</v>
      </c>
      <c r="CB62" t="s">
        <v>167</v>
      </c>
      <c r="CG62" t="s">
        <v>1355</v>
      </c>
      <c r="CH62" t="s">
        <v>923</v>
      </c>
      <c r="CI62" t="s">
        <v>153</v>
      </c>
      <c r="CP62" t="s">
        <v>923</v>
      </c>
      <c r="EP62" t="s">
        <v>181</v>
      </c>
      <c r="EQ62" t="s">
        <v>181</v>
      </c>
      <c r="FM62" t="s">
        <v>923</v>
      </c>
    </row>
    <row r="63" spans="51:215">
      <c r="AY63" t="s">
        <v>175</v>
      </c>
      <c r="AZ63" t="s">
        <v>996</v>
      </c>
      <c r="BB63" t="s">
        <v>160</v>
      </c>
      <c r="BY63" t="s">
        <v>181</v>
      </c>
      <c r="BZ63" t="s">
        <v>181</v>
      </c>
      <c r="CA63" t="s">
        <v>169</v>
      </c>
      <c r="CB63" t="s">
        <v>169</v>
      </c>
      <c r="CG63" t="s">
        <v>1356</v>
      </c>
      <c r="CH63" t="s">
        <v>167</v>
      </c>
      <c r="CI63" t="s">
        <v>156</v>
      </c>
      <c r="CP63" t="s">
        <v>167</v>
      </c>
      <c r="EP63" t="s">
        <v>183</v>
      </c>
      <c r="EQ63" t="s">
        <v>183</v>
      </c>
      <c r="FM63" t="s">
        <v>167</v>
      </c>
    </row>
    <row r="64" spans="51:215">
      <c r="AY64" t="s">
        <v>177</v>
      </c>
      <c r="AZ64" t="s">
        <v>997</v>
      </c>
      <c r="BB64" t="s">
        <v>162</v>
      </c>
      <c r="BY64" t="s">
        <v>183</v>
      </c>
      <c r="BZ64" t="s">
        <v>183</v>
      </c>
      <c r="CA64" t="s">
        <v>171</v>
      </c>
      <c r="CB64" t="s">
        <v>171</v>
      </c>
      <c r="CG64" t="s">
        <v>1357</v>
      </c>
      <c r="CH64" t="s">
        <v>169</v>
      </c>
      <c r="CI64" t="s">
        <v>160</v>
      </c>
      <c r="CP64" t="s">
        <v>169</v>
      </c>
      <c r="EP64" t="s">
        <v>187</v>
      </c>
      <c r="EQ64" t="s">
        <v>187</v>
      </c>
      <c r="FM64" t="s">
        <v>169</v>
      </c>
    </row>
    <row r="65" spans="51:169">
      <c r="AY65" t="s">
        <v>179</v>
      </c>
      <c r="AZ65" t="s">
        <v>998</v>
      </c>
      <c r="BB65" t="s">
        <v>164</v>
      </c>
      <c r="BY65" t="s">
        <v>187</v>
      </c>
      <c r="BZ65" t="s">
        <v>187</v>
      </c>
      <c r="CA65" t="s">
        <v>173</v>
      </c>
      <c r="CB65" t="s">
        <v>173</v>
      </c>
      <c r="CG65" t="s">
        <v>1358</v>
      </c>
      <c r="CH65" t="s">
        <v>171</v>
      </c>
      <c r="CI65" t="s">
        <v>162</v>
      </c>
      <c r="CP65" t="s">
        <v>171</v>
      </c>
      <c r="EP65" t="s">
        <v>189</v>
      </c>
      <c r="EQ65" t="s">
        <v>189</v>
      </c>
      <c r="FM65" t="s">
        <v>171</v>
      </c>
    </row>
    <row r="66" spans="51:169">
      <c r="AY66" t="s">
        <v>181</v>
      </c>
      <c r="AZ66" t="s">
        <v>999</v>
      </c>
      <c r="BB66" t="s">
        <v>166</v>
      </c>
      <c r="BY66" t="s">
        <v>189</v>
      </c>
      <c r="BZ66" t="s">
        <v>189</v>
      </c>
      <c r="CA66" t="s">
        <v>175</v>
      </c>
      <c r="CB66" t="s">
        <v>175</v>
      </c>
      <c r="CG66" t="s">
        <v>1359</v>
      </c>
      <c r="CH66" t="s">
        <v>173</v>
      </c>
      <c r="CI66" t="s">
        <v>164</v>
      </c>
      <c r="CP66" t="s">
        <v>173</v>
      </c>
      <c r="EP66" t="s">
        <v>191</v>
      </c>
      <c r="EQ66" t="s">
        <v>191</v>
      </c>
      <c r="FM66" t="s">
        <v>173</v>
      </c>
    </row>
    <row r="67" spans="51:169">
      <c r="AY67" t="s">
        <v>183</v>
      </c>
      <c r="AZ67" t="s">
        <v>1000</v>
      </c>
      <c r="BB67" t="s">
        <v>168</v>
      </c>
      <c r="BY67" t="s">
        <v>191</v>
      </c>
      <c r="BZ67" t="s">
        <v>191</v>
      </c>
      <c r="CA67" t="s">
        <v>177</v>
      </c>
      <c r="CB67" t="s">
        <v>177</v>
      </c>
      <c r="CG67" t="s">
        <v>1360</v>
      </c>
      <c r="CH67" t="s">
        <v>175</v>
      </c>
      <c r="CI67" t="s">
        <v>166</v>
      </c>
      <c r="CP67" t="s">
        <v>175</v>
      </c>
      <c r="EP67" t="s">
        <v>193</v>
      </c>
      <c r="EQ67" t="s">
        <v>193</v>
      </c>
      <c r="FM67" t="s">
        <v>175</v>
      </c>
    </row>
    <row r="68" spans="51:169">
      <c r="AY68" t="s">
        <v>185</v>
      </c>
      <c r="AZ68" t="s">
        <v>1001</v>
      </c>
      <c r="BB68" t="s">
        <v>170</v>
      </c>
      <c r="BY68" t="s">
        <v>193</v>
      </c>
      <c r="BZ68" t="s">
        <v>193</v>
      </c>
      <c r="CA68" t="s">
        <v>179</v>
      </c>
      <c r="CB68" t="s">
        <v>179</v>
      </c>
      <c r="CG68" t="s">
        <v>1361</v>
      </c>
      <c r="CH68" t="s">
        <v>177</v>
      </c>
      <c r="CI68" t="s">
        <v>168</v>
      </c>
      <c r="CP68" t="s">
        <v>177</v>
      </c>
      <c r="EP68" t="s">
        <v>199</v>
      </c>
      <c r="EQ68" t="s">
        <v>199</v>
      </c>
      <c r="FM68" t="s">
        <v>177</v>
      </c>
    </row>
    <row r="69" spans="51:169">
      <c r="AY69" t="s">
        <v>187</v>
      </c>
      <c r="AZ69" t="s">
        <v>1002</v>
      </c>
      <c r="BB69" t="s">
        <v>172</v>
      </c>
      <c r="BY69" t="s">
        <v>199</v>
      </c>
      <c r="BZ69" t="s">
        <v>199</v>
      </c>
      <c r="CA69" t="s">
        <v>181</v>
      </c>
      <c r="CB69" t="s">
        <v>181</v>
      </c>
      <c r="CG69" t="s">
        <v>1362</v>
      </c>
      <c r="CH69" t="s">
        <v>179</v>
      </c>
      <c r="CI69" t="s">
        <v>170</v>
      </c>
      <c r="CP69" t="s">
        <v>179</v>
      </c>
      <c r="EP69" t="s">
        <v>201</v>
      </c>
      <c r="EQ69" t="s">
        <v>201</v>
      </c>
      <c r="FM69" t="s">
        <v>179</v>
      </c>
    </row>
    <row r="70" spans="51:169">
      <c r="AY70" t="s">
        <v>191</v>
      </c>
      <c r="AZ70" t="s">
        <v>1003</v>
      </c>
      <c r="BB70" t="s">
        <v>176</v>
      </c>
      <c r="BY70" t="s">
        <v>201</v>
      </c>
      <c r="BZ70" t="s">
        <v>201</v>
      </c>
      <c r="CA70" t="s">
        <v>183</v>
      </c>
      <c r="CB70" t="s">
        <v>183</v>
      </c>
      <c r="CG70" t="s">
        <v>1363</v>
      </c>
      <c r="CH70" t="s">
        <v>181</v>
      </c>
      <c r="CI70" t="s">
        <v>172</v>
      </c>
      <c r="CP70" t="s">
        <v>181</v>
      </c>
      <c r="EP70" t="s">
        <v>203</v>
      </c>
      <c r="EQ70" t="s">
        <v>203</v>
      </c>
      <c r="FM70" t="s">
        <v>181</v>
      </c>
    </row>
    <row r="71" spans="51:169">
      <c r="AY71" t="s">
        <v>193</v>
      </c>
      <c r="AZ71" t="s">
        <v>1004</v>
      </c>
      <c r="BB71" t="s">
        <v>178</v>
      </c>
      <c r="BY71" t="s">
        <v>203</v>
      </c>
      <c r="BZ71" t="s">
        <v>203</v>
      </c>
      <c r="CA71" t="s">
        <v>185</v>
      </c>
      <c r="CB71" t="s">
        <v>185</v>
      </c>
      <c r="CG71" t="s">
        <v>1364</v>
      </c>
      <c r="CH71" t="s">
        <v>183</v>
      </c>
      <c r="CI71" t="s">
        <v>176</v>
      </c>
      <c r="CP71" t="s">
        <v>183</v>
      </c>
      <c r="EP71" t="s">
        <v>205</v>
      </c>
      <c r="EQ71" t="s">
        <v>205</v>
      </c>
      <c r="FM71" t="s">
        <v>183</v>
      </c>
    </row>
    <row r="72" spans="51:169">
      <c r="AY72" t="s">
        <v>195</v>
      </c>
      <c r="AZ72" t="s">
        <v>1005</v>
      </c>
      <c r="BB72" t="s">
        <v>180</v>
      </c>
      <c r="BY72" t="s">
        <v>205</v>
      </c>
      <c r="BZ72" t="s">
        <v>205</v>
      </c>
      <c r="CA72" t="s">
        <v>187</v>
      </c>
      <c r="CB72" t="s">
        <v>187</v>
      </c>
      <c r="CG72" t="s">
        <v>1365</v>
      </c>
      <c r="CH72" t="s">
        <v>185</v>
      </c>
      <c r="CI72" t="s">
        <v>178</v>
      </c>
      <c r="CP72" t="s">
        <v>185</v>
      </c>
      <c r="EP72" t="s">
        <v>207</v>
      </c>
      <c r="EQ72" t="s">
        <v>207</v>
      </c>
      <c r="FM72" t="s">
        <v>185</v>
      </c>
    </row>
    <row r="73" spans="51:169">
      <c r="AY73" t="s">
        <v>197</v>
      </c>
      <c r="AZ73" t="s">
        <v>1006</v>
      </c>
      <c r="BB73" t="s">
        <v>182</v>
      </c>
      <c r="BY73" t="s">
        <v>207</v>
      </c>
      <c r="BZ73" t="s">
        <v>207</v>
      </c>
      <c r="CA73" t="s">
        <v>189</v>
      </c>
      <c r="CB73" t="s">
        <v>189</v>
      </c>
      <c r="CG73" t="s">
        <v>1366</v>
      </c>
      <c r="CH73" t="s">
        <v>187</v>
      </c>
      <c r="CI73" t="s">
        <v>180</v>
      </c>
      <c r="CP73" t="s">
        <v>187</v>
      </c>
      <c r="EP73" t="s">
        <v>209</v>
      </c>
      <c r="EQ73" t="s">
        <v>209</v>
      </c>
      <c r="FM73" t="s">
        <v>187</v>
      </c>
    </row>
    <row r="74" spans="51:169">
      <c r="AY74" t="s">
        <v>199</v>
      </c>
      <c r="AZ74" t="s">
        <v>1007</v>
      </c>
      <c r="BB74" t="s">
        <v>186</v>
      </c>
      <c r="BY74" t="s">
        <v>209</v>
      </c>
      <c r="BZ74" t="s">
        <v>209</v>
      </c>
      <c r="CA74" t="s">
        <v>191</v>
      </c>
      <c r="CB74" t="s">
        <v>191</v>
      </c>
      <c r="CG74" t="s">
        <v>1367</v>
      </c>
      <c r="CH74" t="s">
        <v>189</v>
      </c>
      <c r="CI74" t="s">
        <v>182</v>
      </c>
      <c r="CP74" t="s">
        <v>189</v>
      </c>
      <c r="EP74" t="s">
        <v>213</v>
      </c>
      <c r="EQ74" t="s">
        <v>213</v>
      </c>
      <c r="FM74" t="s">
        <v>189</v>
      </c>
    </row>
    <row r="75" spans="51:169">
      <c r="AY75" t="s">
        <v>201</v>
      </c>
      <c r="AZ75" t="s">
        <v>1008</v>
      </c>
      <c r="BB75" t="s">
        <v>188</v>
      </c>
      <c r="BY75" t="s">
        <v>213</v>
      </c>
      <c r="BZ75" t="s">
        <v>213</v>
      </c>
      <c r="CA75" t="s">
        <v>193</v>
      </c>
      <c r="CB75" t="s">
        <v>193</v>
      </c>
      <c r="CG75" t="s">
        <v>1368</v>
      </c>
      <c r="CH75" t="s">
        <v>191</v>
      </c>
      <c r="CI75" t="s">
        <v>186</v>
      </c>
      <c r="CP75" t="s">
        <v>191</v>
      </c>
      <c r="EP75" t="s">
        <v>928</v>
      </c>
      <c r="EQ75" t="s">
        <v>928</v>
      </c>
      <c r="FM75" t="s">
        <v>191</v>
      </c>
    </row>
    <row r="76" spans="51:169">
      <c r="AY76" t="s">
        <v>203</v>
      </c>
      <c r="AZ76" t="s">
        <v>1009</v>
      </c>
      <c r="BB76" t="s">
        <v>190</v>
      </c>
      <c r="BY76" t="s">
        <v>219</v>
      </c>
      <c r="BZ76" t="s">
        <v>219</v>
      </c>
      <c r="CA76" t="s">
        <v>195</v>
      </c>
      <c r="CB76" t="s">
        <v>195</v>
      </c>
      <c r="CG76" t="s">
        <v>1369</v>
      </c>
      <c r="CH76" t="s">
        <v>193</v>
      </c>
      <c r="CI76" t="s">
        <v>188</v>
      </c>
      <c r="CP76" t="s">
        <v>193</v>
      </c>
      <c r="EP76" t="s">
        <v>219</v>
      </c>
      <c r="EQ76" t="s">
        <v>219</v>
      </c>
      <c r="FM76" t="s">
        <v>193</v>
      </c>
    </row>
    <row r="77" spans="51:169">
      <c r="AY77" t="s">
        <v>205</v>
      </c>
      <c r="AZ77" t="s">
        <v>1010</v>
      </c>
      <c r="BB77" t="s">
        <v>192</v>
      </c>
      <c r="BY77" t="s">
        <v>221</v>
      </c>
      <c r="BZ77" t="s">
        <v>221</v>
      </c>
      <c r="CA77" t="s">
        <v>197</v>
      </c>
      <c r="CB77" t="s">
        <v>197</v>
      </c>
      <c r="CG77" t="s">
        <v>1370</v>
      </c>
      <c r="CH77" t="s">
        <v>195</v>
      </c>
      <c r="CI77" t="s">
        <v>190</v>
      </c>
      <c r="CP77" t="s">
        <v>195</v>
      </c>
      <c r="EP77" t="s">
        <v>221</v>
      </c>
      <c r="EQ77" t="s">
        <v>221</v>
      </c>
      <c r="FM77" t="s">
        <v>195</v>
      </c>
    </row>
    <row r="78" spans="51:169">
      <c r="AY78" t="s">
        <v>207</v>
      </c>
      <c r="AZ78" t="s">
        <v>1011</v>
      </c>
      <c r="BB78" t="s">
        <v>194</v>
      </c>
      <c r="BY78" t="s">
        <v>223</v>
      </c>
      <c r="BZ78" t="s">
        <v>223</v>
      </c>
      <c r="CA78" t="s">
        <v>199</v>
      </c>
      <c r="CB78" t="s">
        <v>199</v>
      </c>
      <c r="CG78" t="s">
        <v>1371</v>
      </c>
      <c r="CH78" t="s">
        <v>197</v>
      </c>
      <c r="CI78" t="s">
        <v>192</v>
      </c>
      <c r="CP78" t="s">
        <v>197</v>
      </c>
      <c r="EP78" t="s">
        <v>223</v>
      </c>
      <c r="EQ78" t="s">
        <v>223</v>
      </c>
      <c r="FM78" t="s">
        <v>197</v>
      </c>
    </row>
    <row r="79" spans="51:169">
      <c r="AY79" t="s">
        <v>209</v>
      </c>
      <c r="AZ79" t="s">
        <v>1012</v>
      </c>
      <c r="BB79" t="s">
        <v>196</v>
      </c>
      <c r="BY79" t="s">
        <v>225</v>
      </c>
      <c r="BZ79" t="s">
        <v>225</v>
      </c>
      <c r="CA79" t="s">
        <v>201</v>
      </c>
      <c r="CB79" t="s">
        <v>201</v>
      </c>
      <c r="CG79" t="s">
        <v>1372</v>
      </c>
      <c r="CH79" t="s">
        <v>199</v>
      </c>
      <c r="CI79" t="s">
        <v>194</v>
      </c>
      <c r="CP79" t="s">
        <v>199</v>
      </c>
      <c r="EP79" t="s">
        <v>225</v>
      </c>
      <c r="EQ79" t="s">
        <v>225</v>
      </c>
      <c r="FM79" t="s">
        <v>199</v>
      </c>
    </row>
    <row r="80" spans="51:169">
      <c r="AY80" t="s">
        <v>211</v>
      </c>
      <c r="AZ80" t="s">
        <v>1013</v>
      </c>
      <c r="BB80" t="s">
        <v>198</v>
      </c>
      <c r="BY80" t="s">
        <v>227</v>
      </c>
      <c r="BZ80" t="s">
        <v>227</v>
      </c>
      <c r="CA80" t="s">
        <v>203</v>
      </c>
      <c r="CB80" t="s">
        <v>203</v>
      </c>
      <c r="CG80" t="s">
        <v>1373</v>
      </c>
      <c r="CH80" t="s">
        <v>201</v>
      </c>
      <c r="CI80" t="s">
        <v>196</v>
      </c>
      <c r="CP80" t="s">
        <v>201</v>
      </c>
      <c r="EP80" t="s">
        <v>227</v>
      </c>
      <c r="EQ80" t="s">
        <v>227</v>
      </c>
      <c r="FM80" t="s">
        <v>201</v>
      </c>
    </row>
    <row r="81" spans="51:169">
      <c r="AY81" t="s">
        <v>213</v>
      </c>
      <c r="AZ81" t="s">
        <v>1014</v>
      </c>
      <c r="BB81" t="s">
        <v>200</v>
      </c>
      <c r="BY81" t="s">
        <v>229</v>
      </c>
      <c r="BZ81" t="s">
        <v>229</v>
      </c>
      <c r="CA81" t="s">
        <v>205</v>
      </c>
      <c r="CB81" t="s">
        <v>205</v>
      </c>
      <c r="CG81" t="s">
        <v>1374</v>
      </c>
      <c r="CH81" t="s">
        <v>203</v>
      </c>
      <c r="CI81" t="s">
        <v>198</v>
      </c>
      <c r="CP81" t="s">
        <v>203</v>
      </c>
      <c r="EP81" t="s">
        <v>229</v>
      </c>
      <c r="EQ81" t="s">
        <v>229</v>
      </c>
      <c r="FM81" t="s">
        <v>203</v>
      </c>
    </row>
    <row r="82" spans="51:169">
      <c r="AY82" t="s">
        <v>217</v>
      </c>
      <c r="AZ82" t="s">
        <v>1015</v>
      </c>
      <c r="BB82" t="s">
        <v>202</v>
      </c>
      <c r="BY82" t="s">
        <v>231</v>
      </c>
      <c r="BZ82" t="s">
        <v>231</v>
      </c>
      <c r="CA82" t="s">
        <v>207</v>
      </c>
      <c r="CB82" t="s">
        <v>207</v>
      </c>
      <c r="CG82" t="s">
        <v>1375</v>
      </c>
      <c r="CH82" t="s">
        <v>205</v>
      </c>
      <c r="CI82" t="s">
        <v>200</v>
      </c>
      <c r="CP82" t="s">
        <v>205</v>
      </c>
      <c r="EP82" t="s">
        <v>231</v>
      </c>
      <c r="EQ82" t="s">
        <v>231</v>
      </c>
      <c r="FM82" t="s">
        <v>205</v>
      </c>
    </row>
    <row r="83" spans="51:169">
      <c r="AY83" t="s">
        <v>219</v>
      </c>
      <c r="AZ83" t="s">
        <v>1016</v>
      </c>
      <c r="BB83" t="s">
        <v>204</v>
      </c>
      <c r="BY83" t="s">
        <v>233</v>
      </c>
      <c r="BZ83" t="s">
        <v>233</v>
      </c>
      <c r="CA83" t="s">
        <v>209</v>
      </c>
      <c r="CB83" t="s">
        <v>209</v>
      </c>
      <c r="CG83" t="s">
        <v>1376</v>
      </c>
      <c r="CH83" t="s">
        <v>207</v>
      </c>
      <c r="CI83" t="s">
        <v>202</v>
      </c>
      <c r="CP83" t="s">
        <v>207</v>
      </c>
      <c r="EP83" t="s">
        <v>233</v>
      </c>
      <c r="EQ83" t="s">
        <v>233</v>
      </c>
      <c r="FM83" t="s">
        <v>207</v>
      </c>
    </row>
    <row r="84" spans="51:169">
      <c r="AY84" t="s">
        <v>221</v>
      </c>
      <c r="AZ84" t="s">
        <v>1017</v>
      </c>
      <c r="BB84" t="s">
        <v>206</v>
      </c>
      <c r="BY84" t="s">
        <v>235</v>
      </c>
      <c r="BZ84" t="s">
        <v>235</v>
      </c>
      <c r="CA84" t="s">
        <v>211</v>
      </c>
      <c r="CB84" t="s">
        <v>211</v>
      </c>
      <c r="CG84" t="s">
        <v>1377</v>
      </c>
      <c r="CH84" t="s">
        <v>209</v>
      </c>
      <c r="CI84" t="s">
        <v>204</v>
      </c>
      <c r="CP84" t="s">
        <v>209</v>
      </c>
      <c r="EP84" t="s">
        <v>235</v>
      </c>
      <c r="EQ84" t="s">
        <v>235</v>
      </c>
      <c r="FM84" t="s">
        <v>209</v>
      </c>
    </row>
    <row r="85" spans="51:169">
      <c r="AY85" t="s">
        <v>223</v>
      </c>
      <c r="AZ85" t="s">
        <v>1018</v>
      </c>
      <c r="BB85" t="s">
        <v>208</v>
      </c>
      <c r="BY85" t="s">
        <v>237</v>
      </c>
      <c r="BZ85" t="s">
        <v>237</v>
      </c>
      <c r="CA85" t="s">
        <v>213</v>
      </c>
      <c r="CB85" t="s">
        <v>213</v>
      </c>
      <c r="CG85" t="s">
        <v>1378</v>
      </c>
      <c r="CH85" t="s">
        <v>211</v>
      </c>
      <c r="CI85" t="s">
        <v>206</v>
      </c>
      <c r="CP85" t="s">
        <v>211</v>
      </c>
      <c r="EP85" t="s">
        <v>237</v>
      </c>
      <c r="EQ85" t="s">
        <v>237</v>
      </c>
      <c r="FM85" t="s">
        <v>211</v>
      </c>
    </row>
    <row r="86" spans="51:169">
      <c r="AY86" t="s">
        <v>225</v>
      </c>
      <c r="AZ86" t="s">
        <v>1019</v>
      </c>
      <c r="BB86" t="s">
        <v>210</v>
      </c>
      <c r="BY86" t="s">
        <v>239</v>
      </c>
      <c r="BZ86" t="s">
        <v>239</v>
      </c>
      <c r="CA86" t="s">
        <v>217</v>
      </c>
      <c r="CB86" t="s">
        <v>217</v>
      </c>
      <c r="CG86" t="s">
        <v>1379</v>
      </c>
      <c r="CH86" t="s">
        <v>213</v>
      </c>
      <c r="CI86" t="s">
        <v>208</v>
      </c>
      <c r="CP86" t="s">
        <v>213</v>
      </c>
      <c r="EP86" t="s">
        <v>239</v>
      </c>
      <c r="EQ86" t="s">
        <v>239</v>
      </c>
      <c r="FM86" t="s">
        <v>213</v>
      </c>
    </row>
    <row r="87" spans="51:169">
      <c r="AY87" t="s">
        <v>227</v>
      </c>
      <c r="AZ87" t="s">
        <v>1020</v>
      </c>
      <c r="BB87" t="s">
        <v>212</v>
      </c>
      <c r="BY87" t="s">
        <v>241</v>
      </c>
      <c r="BZ87" t="s">
        <v>241</v>
      </c>
      <c r="CA87" t="s">
        <v>219</v>
      </c>
      <c r="CB87" t="s">
        <v>219</v>
      </c>
      <c r="CG87" t="s">
        <v>1380</v>
      </c>
      <c r="CH87" t="s">
        <v>928</v>
      </c>
      <c r="CI87" t="s">
        <v>210</v>
      </c>
      <c r="CP87" t="s">
        <v>447</v>
      </c>
      <c r="EP87" t="s">
        <v>241</v>
      </c>
      <c r="EQ87" t="s">
        <v>241</v>
      </c>
      <c r="FM87" t="s">
        <v>928</v>
      </c>
    </row>
    <row r="88" spans="51:169">
      <c r="AY88" t="s">
        <v>229</v>
      </c>
      <c r="AZ88" t="s">
        <v>1021</v>
      </c>
      <c r="BB88" t="s">
        <v>214</v>
      </c>
      <c r="BY88" t="s">
        <v>243</v>
      </c>
      <c r="BZ88" t="s">
        <v>243</v>
      </c>
      <c r="CA88" t="s">
        <v>221</v>
      </c>
      <c r="CB88" t="s">
        <v>221</v>
      </c>
      <c r="CG88" t="s">
        <v>1381</v>
      </c>
      <c r="CH88" t="s">
        <v>217</v>
      </c>
      <c r="CI88" t="s">
        <v>212</v>
      </c>
      <c r="CP88" t="s">
        <v>928</v>
      </c>
      <c r="EP88" t="s">
        <v>243</v>
      </c>
      <c r="EQ88" t="s">
        <v>243</v>
      </c>
      <c r="FM88" t="s">
        <v>217</v>
      </c>
    </row>
    <row r="89" spans="51:169">
      <c r="AY89" t="s">
        <v>231</v>
      </c>
      <c r="AZ89" t="s">
        <v>1022</v>
      </c>
      <c r="BB89" t="s">
        <v>216</v>
      </c>
      <c r="BY89" t="s">
        <v>245</v>
      </c>
      <c r="BZ89" t="s">
        <v>245</v>
      </c>
      <c r="CA89" t="s">
        <v>223</v>
      </c>
      <c r="CB89" t="s">
        <v>223</v>
      </c>
      <c r="CG89" t="s">
        <v>1382</v>
      </c>
      <c r="CH89" t="s">
        <v>219</v>
      </c>
      <c r="CI89" t="s">
        <v>214</v>
      </c>
      <c r="CP89" t="s">
        <v>217</v>
      </c>
      <c r="EP89" t="s">
        <v>245</v>
      </c>
      <c r="EQ89" t="s">
        <v>245</v>
      </c>
      <c r="FM89" t="s">
        <v>219</v>
      </c>
    </row>
    <row r="90" spans="51:169">
      <c r="AY90" t="s">
        <v>233</v>
      </c>
      <c r="AZ90" t="s">
        <v>1023</v>
      </c>
      <c r="BB90" t="s">
        <v>218</v>
      </c>
      <c r="BY90" t="s">
        <v>251</v>
      </c>
      <c r="BZ90" t="s">
        <v>251</v>
      </c>
      <c r="CA90" t="s">
        <v>225</v>
      </c>
      <c r="CB90" t="s">
        <v>225</v>
      </c>
      <c r="CG90" t="s">
        <v>1383</v>
      </c>
      <c r="CH90" t="s">
        <v>221</v>
      </c>
      <c r="CI90" t="s">
        <v>216</v>
      </c>
      <c r="CP90" t="s">
        <v>219</v>
      </c>
      <c r="EP90" t="s">
        <v>251</v>
      </c>
      <c r="EQ90" t="s">
        <v>251</v>
      </c>
      <c r="FM90" t="s">
        <v>221</v>
      </c>
    </row>
    <row r="91" spans="51:169">
      <c r="AY91" t="s">
        <v>235</v>
      </c>
      <c r="AZ91" t="s">
        <v>1024</v>
      </c>
      <c r="BB91" t="s">
        <v>1136</v>
      </c>
      <c r="BY91" t="s">
        <v>253</v>
      </c>
      <c r="BZ91" t="s">
        <v>253</v>
      </c>
      <c r="CA91" t="s">
        <v>227</v>
      </c>
      <c r="CB91" t="s">
        <v>227</v>
      </c>
      <c r="CG91" t="s">
        <v>1384</v>
      </c>
      <c r="CH91" t="s">
        <v>223</v>
      </c>
      <c r="CI91" t="s">
        <v>218</v>
      </c>
      <c r="CP91" t="s">
        <v>221</v>
      </c>
      <c r="EP91" t="s">
        <v>253</v>
      </c>
      <c r="EQ91" t="s">
        <v>253</v>
      </c>
      <c r="FM91" t="s">
        <v>223</v>
      </c>
    </row>
    <row r="92" spans="51:169">
      <c r="AY92" t="s">
        <v>237</v>
      </c>
      <c r="AZ92" t="s">
        <v>1025</v>
      </c>
      <c r="BB92" t="s">
        <v>1137</v>
      </c>
      <c r="BY92" t="s">
        <v>255</v>
      </c>
      <c r="BZ92" t="s">
        <v>255</v>
      </c>
      <c r="CA92" t="s">
        <v>229</v>
      </c>
      <c r="CB92" t="s">
        <v>229</v>
      </c>
      <c r="CG92" t="s">
        <v>1385</v>
      </c>
      <c r="CH92" t="s">
        <v>225</v>
      </c>
      <c r="CI92" t="s">
        <v>1136</v>
      </c>
      <c r="CP92" t="s">
        <v>223</v>
      </c>
      <c r="EP92" t="s">
        <v>255</v>
      </c>
      <c r="EQ92" t="s">
        <v>255</v>
      </c>
      <c r="FM92" t="s">
        <v>225</v>
      </c>
    </row>
    <row r="93" spans="51:169">
      <c r="AY93" t="s">
        <v>239</v>
      </c>
      <c r="AZ93" t="s">
        <v>1026</v>
      </c>
      <c r="BB93" t="s">
        <v>220</v>
      </c>
      <c r="BY93" t="s">
        <v>257</v>
      </c>
      <c r="BZ93" t="s">
        <v>257</v>
      </c>
      <c r="CA93" t="s">
        <v>231</v>
      </c>
      <c r="CB93" t="s">
        <v>231</v>
      </c>
      <c r="CG93" t="s">
        <v>1386</v>
      </c>
      <c r="CH93" t="s">
        <v>227</v>
      </c>
      <c r="CI93" t="s">
        <v>1137</v>
      </c>
      <c r="CP93" t="s">
        <v>225</v>
      </c>
      <c r="EP93" t="s">
        <v>257</v>
      </c>
      <c r="EQ93" t="s">
        <v>257</v>
      </c>
      <c r="FM93" t="s">
        <v>227</v>
      </c>
    </row>
    <row r="94" spans="51:169">
      <c r="AY94" t="s">
        <v>241</v>
      </c>
      <c r="AZ94" t="s">
        <v>1027</v>
      </c>
      <c r="BB94" t="s">
        <v>222</v>
      </c>
      <c r="BY94" t="s">
        <v>261</v>
      </c>
      <c r="BZ94" t="s">
        <v>261</v>
      </c>
      <c r="CA94" t="s">
        <v>233</v>
      </c>
      <c r="CB94" t="s">
        <v>233</v>
      </c>
      <c r="CG94" t="s">
        <v>1387</v>
      </c>
      <c r="CH94" t="s">
        <v>229</v>
      </c>
      <c r="CI94" t="s">
        <v>220</v>
      </c>
      <c r="CP94" t="s">
        <v>227</v>
      </c>
      <c r="EP94" t="s">
        <v>261</v>
      </c>
      <c r="EQ94" t="s">
        <v>261</v>
      </c>
      <c r="FM94" t="s">
        <v>229</v>
      </c>
    </row>
    <row r="95" spans="51:169">
      <c r="AY95" t="s">
        <v>243</v>
      </c>
      <c r="AZ95" t="s">
        <v>1028</v>
      </c>
      <c r="BB95" t="s">
        <v>224</v>
      </c>
      <c r="BY95" t="s">
        <v>263</v>
      </c>
      <c r="BZ95" t="s">
        <v>263</v>
      </c>
      <c r="CA95" t="s">
        <v>235</v>
      </c>
      <c r="CB95" t="s">
        <v>235</v>
      </c>
      <c r="CG95" t="s">
        <v>1388</v>
      </c>
      <c r="CH95" t="s">
        <v>231</v>
      </c>
      <c r="CI95" t="s">
        <v>222</v>
      </c>
      <c r="CP95" t="s">
        <v>229</v>
      </c>
      <c r="EP95" t="s">
        <v>263</v>
      </c>
      <c r="EQ95" t="s">
        <v>263</v>
      </c>
      <c r="FM95" t="s">
        <v>231</v>
      </c>
    </row>
    <row r="96" spans="51:169">
      <c r="AY96" t="s">
        <v>245</v>
      </c>
      <c r="AZ96" t="s">
        <v>1029</v>
      </c>
      <c r="BB96" t="s">
        <v>226</v>
      </c>
      <c r="BY96" t="s">
        <v>267</v>
      </c>
      <c r="BZ96" t="s">
        <v>267</v>
      </c>
      <c r="CA96" t="s">
        <v>237</v>
      </c>
      <c r="CB96" t="s">
        <v>237</v>
      </c>
      <c r="CG96" t="s">
        <v>1389</v>
      </c>
      <c r="CH96" t="s">
        <v>233</v>
      </c>
      <c r="CI96" t="s">
        <v>224</v>
      </c>
      <c r="CP96" t="s">
        <v>231</v>
      </c>
      <c r="EP96" t="s">
        <v>267</v>
      </c>
      <c r="EQ96" t="s">
        <v>267</v>
      </c>
      <c r="FM96" t="s">
        <v>233</v>
      </c>
    </row>
    <row r="97" spans="51:169">
      <c r="AY97" t="s">
        <v>247</v>
      </c>
      <c r="AZ97" t="s">
        <v>1030</v>
      </c>
      <c r="BB97" t="s">
        <v>228</v>
      </c>
      <c r="BY97" t="s">
        <v>269</v>
      </c>
      <c r="BZ97" t="s">
        <v>269</v>
      </c>
      <c r="CA97" t="s">
        <v>239</v>
      </c>
      <c r="CB97" t="s">
        <v>239</v>
      </c>
      <c r="CG97" t="s">
        <v>1390</v>
      </c>
      <c r="CH97" t="s">
        <v>235</v>
      </c>
      <c r="CI97" t="s">
        <v>226</v>
      </c>
      <c r="CP97" t="s">
        <v>233</v>
      </c>
      <c r="EP97" t="s">
        <v>269</v>
      </c>
      <c r="EQ97" t="s">
        <v>269</v>
      </c>
      <c r="FM97" t="s">
        <v>235</v>
      </c>
    </row>
    <row r="98" spans="51:169">
      <c r="AY98" t="s">
        <v>249</v>
      </c>
      <c r="AZ98" t="s">
        <v>1031</v>
      </c>
      <c r="BB98" t="s">
        <v>230</v>
      </c>
      <c r="BY98" t="s">
        <v>271</v>
      </c>
      <c r="BZ98" t="s">
        <v>271</v>
      </c>
      <c r="CA98" t="s">
        <v>241</v>
      </c>
      <c r="CB98" t="s">
        <v>241</v>
      </c>
      <c r="CG98" t="s">
        <v>1391</v>
      </c>
      <c r="CH98" t="s">
        <v>237</v>
      </c>
      <c r="CI98" t="s">
        <v>228</v>
      </c>
      <c r="CP98" t="s">
        <v>235</v>
      </c>
      <c r="EP98" t="s">
        <v>271</v>
      </c>
      <c r="EQ98" t="s">
        <v>271</v>
      </c>
      <c r="FM98" t="s">
        <v>237</v>
      </c>
    </row>
    <row r="99" spans="51:169">
      <c r="AY99" t="s">
        <v>251</v>
      </c>
      <c r="AZ99" t="s">
        <v>1032</v>
      </c>
      <c r="BB99" t="s">
        <v>232</v>
      </c>
      <c r="BY99" t="s">
        <v>273</v>
      </c>
      <c r="BZ99" t="s">
        <v>273</v>
      </c>
      <c r="CA99" t="s">
        <v>243</v>
      </c>
      <c r="CB99" t="s">
        <v>243</v>
      </c>
      <c r="CG99" t="s">
        <v>1392</v>
      </c>
      <c r="CH99" t="s">
        <v>239</v>
      </c>
      <c r="CI99" t="s">
        <v>230</v>
      </c>
      <c r="CP99" t="s">
        <v>237</v>
      </c>
      <c r="EP99" t="s">
        <v>273</v>
      </c>
      <c r="EQ99" t="s">
        <v>273</v>
      </c>
      <c r="FM99" t="s">
        <v>239</v>
      </c>
    </row>
    <row r="100" spans="51:169">
      <c r="AY100" t="s">
        <v>253</v>
      </c>
      <c r="AZ100" t="s">
        <v>1033</v>
      </c>
      <c r="BB100" t="s">
        <v>234</v>
      </c>
      <c r="BY100" t="s">
        <v>275</v>
      </c>
      <c r="BZ100" t="s">
        <v>275</v>
      </c>
      <c r="CA100" t="s">
        <v>245</v>
      </c>
      <c r="CB100" t="s">
        <v>245</v>
      </c>
      <c r="CG100" t="s">
        <v>1393</v>
      </c>
      <c r="CH100" t="s">
        <v>241</v>
      </c>
      <c r="CI100" t="s">
        <v>232</v>
      </c>
      <c r="CP100" t="s">
        <v>239</v>
      </c>
      <c r="EP100" t="s">
        <v>275</v>
      </c>
      <c r="EQ100" t="s">
        <v>275</v>
      </c>
      <c r="FM100" t="s">
        <v>241</v>
      </c>
    </row>
    <row r="101" spans="51:169">
      <c r="AY101" t="s">
        <v>255</v>
      </c>
      <c r="AZ101" t="s">
        <v>1034</v>
      </c>
      <c r="BB101" t="s">
        <v>236</v>
      </c>
      <c r="BY101" t="s">
        <v>277</v>
      </c>
      <c r="BZ101" t="s">
        <v>277</v>
      </c>
      <c r="CA101" t="s">
        <v>247</v>
      </c>
      <c r="CB101" t="s">
        <v>247</v>
      </c>
      <c r="CG101" t="s">
        <v>1394</v>
      </c>
      <c r="CH101" t="s">
        <v>243</v>
      </c>
      <c r="CI101" t="s">
        <v>234</v>
      </c>
      <c r="CP101" t="s">
        <v>241</v>
      </c>
      <c r="EP101" t="s">
        <v>277</v>
      </c>
      <c r="EQ101" t="s">
        <v>277</v>
      </c>
      <c r="FM101" t="s">
        <v>243</v>
      </c>
    </row>
    <row r="102" spans="51:169">
      <c r="AY102" t="s">
        <v>257</v>
      </c>
      <c r="AZ102" t="s">
        <v>1035</v>
      </c>
      <c r="BB102" t="s">
        <v>1138</v>
      </c>
      <c r="BY102" t="s">
        <v>279</v>
      </c>
      <c r="BZ102" t="s">
        <v>279</v>
      </c>
      <c r="CA102" t="s">
        <v>249</v>
      </c>
      <c r="CB102" t="s">
        <v>249</v>
      </c>
      <c r="CG102" t="s">
        <v>1395</v>
      </c>
      <c r="CH102" t="s">
        <v>245</v>
      </c>
      <c r="CI102" t="s">
        <v>236</v>
      </c>
      <c r="CP102" t="s">
        <v>243</v>
      </c>
      <c r="EP102" t="s">
        <v>279</v>
      </c>
      <c r="EQ102" t="s">
        <v>279</v>
      </c>
      <c r="FM102" t="s">
        <v>245</v>
      </c>
    </row>
    <row r="103" spans="51:169">
      <c r="AY103" t="s">
        <v>259</v>
      </c>
      <c r="AZ103" t="s">
        <v>1036</v>
      </c>
      <c r="BB103" t="s">
        <v>238</v>
      </c>
      <c r="BY103" t="s">
        <v>281</v>
      </c>
      <c r="BZ103" t="s">
        <v>281</v>
      </c>
      <c r="CA103" t="s">
        <v>251</v>
      </c>
      <c r="CB103" t="s">
        <v>251</v>
      </c>
      <c r="CG103" t="s">
        <v>1396</v>
      </c>
      <c r="CH103" t="s">
        <v>247</v>
      </c>
      <c r="CI103" t="s">
        <v>1138</v>
      </c>
      <c r="CP103" t="s">
        <v>245</v>
      </c>
      <c r="EP103" t="s">
        <v>281</v>
      </c>
      <c r="EQ103" t="s">
        <v>281</v>
      </c>
      <c r="FM103" t="s">
        <v>247</v>
      </c>
    </row>
    <row r="104" spans="51:169">
      <c r="AY104" t="s">
        <v>261</v>
      </c>
      <c r="AZ104" t="s">
        <v>1037</v>
      </c>
      <c r="BB104" t="s">
        <v>240</v>
      </c>
      <c r="BY104" t="s">
        <v>283</v>
      </c>
      <c r="BZ104" t="s">
        <v>283</v>
      </c>
      <c r="CA104" t="s">
        <v>253</v>
      </c>
      <c r="CB104" t="s">
        <v>253</v>
      </c>
      <c r="CG104" t="s">
        <v>1397</v>
      </c>
      <c r="CH104" t="s">
        <v>249</v>
      </c>
      <c r="CI104" t="s">
        <v>238</v>
      </c>
      <c r="CP104" t="s">
        <v>247</v>
      </c>
      <c r="EP104" t="s">
        <v>283</v>
      </c>
      <c r="EQ104" t="s">
        <v>283</v>
      </c>
      <c r="FM104" t="s">
        <v>249</v>
      </c>
    </row>
    <row r="105" spans="51:169">
      <c r="AY105" t="s">
        <v>263</v>
      </c>
      <c r="AZ105" t="s">
        <v>1038</v>
      </c>
      <c r="BB105" t="s">
        <v>242</v>
      </c>
      <c r="BY105" t="s">
        <v>924</v>
      </c>
      <c r="BZ105" t="s">
        <v>924</v>
      </c>
      <c r="CA105" t="s">
        <v>255</v>
      </c>
      <c r="CB105" t="s">
        <v>255</v>
      </c>
      <c r="CG105" t="s">
        <v>1398</v>
      </c>
      <c r="CH105" t="s">
        <v>251</v>
      </c>
      <c r="CI105" t="s">
        <v>240</v>
      </c>
      <c r="CP105" t="s">
        <v>249</v>
      </c>
      <c r="EP105" t="s">
        <v>924</v>
      </c>
      <c r="EQ105" t="s">
        <v>924</v>
      </c>
      <c r="FM105" t="s">
        <v>251</v>
      </c>
    </row>
    <row r="106" spans="51:169">
      <c r="AY106" t="s">
        <v>265</v>
      </c>
      <c r="AZ106" t="s">
        <v>1039</v>
      </c>
      <c r="BB106" t="s">
        <v>244</v>
      </c>
      <c r="BY106" t="s">
        <v>285</v>
      </c>
      <c r="BZ106" t="s">
        <v>285</v>
      </c>
      <c r="CA106" t="s">
        <v>257</v>
      </c>
      <c r="CB106" t="s">
        <v>257</v>
      </c>
      <c r="CG106" t="s">
        <v>1399</v>
      </c>
      <c r="CH106" t="s">
        <v>253</v>
      </c>
      <c r="CI106" t="s">
        <v>242</v>
      </c>
      <c r="CP106" t="s">
        <v>251</v>
      </c>
      <c r="EP106" t="s">
        <v>285</v>
      </c>
      <c r="EQ106" t="s">
        <v>285</v>
      </c>
      <c r="FM106" t="s">
        <v>253</v>
      </c>
    </row>
    <row r="107" spans="51:169">
      <c r="AY107" t="s">
        <v>267</v>
      </c>
      <c r="AZ107" t="s">
        <v>1040</v>
      </c>
      <c r="BB107" t="s">
        <v>1139</v>
      </c>
      <c r="BY107" t="s">
        <v>287</v>
      </c>
      <c r="BZ107" t="s">
        <v>287</v>
      </c>
      <c r="CA107" t="s">
        <v>259</v>
      </c>
      <c r="CB107" t="s">
        <v>259</v>
      </c>
      <c r="CG107" t="s">
        <v>1400</v>
      </c>
      <c r="CH107" t="s">
        <v>255</v>
      </c>
      <c r="CI107" t="s">
        <v>244</v>
      </c>
      <c r="CP107" t="s">
        <v>253</v>
      </c>
      <c r="EP107" t="s">
        <v>287</v>
      </c>
      <c r="EQ107" t="s">
        <v>287</v>
      </c>
      <c r="FM107" t="s">
        <v>255</v>
      </c>
    </row>
    <row r="108" spans="51:169">
      <c r="AY108" t="s">
        <v>269</v>
      </c>
      <c r="AZ108" t="s">
        <v>1041</v>
      </c>
      <c r="BB108" t="s">
        <v>246</v>
      </c>
      <c r="BY108" t="s">
        <v>289</v>
      </c>
      <c r="BZ108" t="s">
        <v>289</v>
      </c>
      <c r="CA108" t="s">
        <v>261</v>
      </c>
      <c r="CB108" t="s">
        <v>261</v>
      </c>
      <c r="CG108" t="s">
        <v>1401</v>
      </c>
      <c r="CH108" t="s">
        <v>257</v>
      </c>
      <c r="CI108" t="s">
        <v>1139</v>
      </c>
      <c r="CP108" t="s">
        <v>255</v>
      </c>
      <c r="EP108" t="s">
        <v>289</v>
      </c>
      <c r="EQ108" t="s">
        <v>289</v>
      </c>
      <c r="FM108" t="s">
        <v>257</v>
      </c>
    </row>
    <row r="109" spans="51:169">
      <c r="AY109" t="s">
        <v>271</v>
      </c>
      <c r="AZ109" t="s">
        <v>1042</v>
      </c>
      <c r="BB109" t="s">
        <v>248</v>
      </c>
      <c r="BY109" t="s">
        <v>293</v>
      </c>
      <c r="BZ109" t="s">
        <v>293</v>
      </c>
      <c r="CA109" t="s">
        <v>263</v>
      </c>
      <c r="CB109" t="s">
        <v>263</v>
      </c>
      <c r="CG109" t="s">
        <v>1402</v>
      </c>
      <c r="CH109" t="s">
        <v>259</v>
      </c>
      <c r="CI109" t="s">
        <v>246</v>
      </c>
      <c r="CP109" t="s">
        <v>257</v>
      </c>
      <c r="EP109" t="s">
        <v>293</v>
      </c>
      <c r="EQ109" t="s">
        <v>293</v>
      </c>
      <c r="FM109" t="s">
        <v>259</v>
      </c>
    </row>
    <row r="110" spans="51:169">
      <c r="AY110" t="s">
        <v>273</v>
      </c>
      <c r="AZ110" t="s">
        <v>1043</v>
      </c>
      <c r="BB110" t="s">
        <v>250</v>
      </c>
      <c r="BY110" t="s">
        <v>295</v>
      </c>
      <c r="BZ110" t="s">
        <v>295</v>
      </c>
      <c r="CA110" t="s">
        <v>265</v>
      </c>
      <c r="CB110" t="s">
        <v>265</v>
      </c>
      <c r="CG110" t="s">
        <v>1403</v>
      </c>
      <c r="CH110" t="s">
        <v>261</v>
      </c>
      <c r="CI110" t="s">
        <v>248</v>
      </c>
      <c r="CP110" t="s">
        <v>259</v>
      </c>
      <c r="EP110" t="s">
        <v>295</v>
      </c>
      <c r="EQ110" t="s">
        <v>295</v>
      </c>
      <c r="FM110" t="s">
        <v>261</v>
      </c>
    </row>
    <row r="111" spans="51:169">
      <c r="AY111" t="s">
        <v>275</v>
      </c>
      <c r="AZ111" t="s">
        <v>1044</v>
      </c>
      <c r="BB111" t="s">
        <v>252</v>
      </c>
      <c r="BY111" t="s">
        <v>297</v>
      </c>
      <c r="BZ111" t="s">
        <v>297</v>
      </c>
      <c r="CA111" t="s">
        <v>267</v>
      </c>
      <c r="CB111" t="s">
        <v>267</v>
      </c>
      <c r="CG111" t="s">
        <v>1404</v>
      </c>
      <c r="CH111" t="s">
        <v>263</v>
      </c>
      <c r="CI111" t="s">
        <v>250</v>
      </c>
      <c r="CP111" t="s">
        <v>261</v>
      </c>
      <c r="EP111" t="s">
        <v>297</v>
      </c>
      <c r="EQ111" t="s">
        <v>297</v>
      </c>
      <c r="FM111" t="s">
        <v>263</v>
      </c>
    </row>
    <row r="112" spans="51:169">
      <c r="AY112" t="s">
        <v>277</v>
      </c>
      <c r="AZ112" t="s">
        <v>1045</v>
      </c>
      <c r="BB112" t="s">
        <v>254</v>
      </c>
      <c r="BY112" t="s">
        <v>299</v>
      </c>
      <c r="BZ112" t="s">
        <v>299</v>
      </c>
      <c r="CA112" t="s">
        <v>269</v>
      </c>
      <c r="CB112" t="s">
        <v>269</v>
      </c>
      <c r="CG112" t="s">
        <v>1405</v>
      </c>
      <c r="CH112" t="s">
        <v>265</v>
      </c>
      <c r="CI112" t="s">
        <v>252</v>
      </c>
      <c r="CP112" t="s">
        <v>263</v>
      </c>
      <c r="EP112" t="s">
        <v>299</v>
      </c>
      <c r="EQ112" t="s">
        <v>299</v>
      </c>
      <c r="FM112" t="s">
        <v>265</v>
      </c>
    </row>
    <row r="113" spans="51:169">
      <c r="AY113" t="s">
        <v>279</v>
      </c>
      <c r="AZ113" t="s">
        <v>1046</v>
      </c>
      <c r="BB113" t="s">
        <v>256</v>
      </c>
      <c r="BY113" t="s">
        <v>308</v>
      </c>
      <c r="BZ113" t="s">
        <v>308</v>
      </c>
      <c r="CA113" t="s">
        <v>271</v>
      </c>
      <c r="CB113" t="s">
        <v>271</v>
      </c>
      <c r="CG113" t="s">
        <v>1406</v>
      </c>
      <c r="CH113" t="s">
        <v>267</v>
      </c>
      <c r="CI113" t="s">
        <v>254</v>
      </c>
      <c r="CP113" t="s">
        <v>265</v>
      </c>
      <c r="EP113" t="s">
        <v>301</v>
      </c>
      <c r="EQ113" t="s">
        <v>301</v>
      </c>
      <c r="FM113" t="s">
        <v>267</v>
      </c>
    </row>
    <row r="114" spans="51:169">
      <c r="AY114" t="s">
        <v>281</v>
      </c>
      <c r="AZ114" t="s">
        <v>1047</v>
      </c>
      <c r="BB114" t="s">
        <v>258</v>
      </c>
      <c r="BY114" t="s">
        <v>925</v>
      </c>
      <c r="BZ114" t="s">
        <v>925</v>
      </c>
      <c r="CA114" t="s">
        <v>273</v>
      </c>
      <c r="CB114" t="s">
        <v>273</v>
      </c>
      <c r="CG114" t="s">
        <v>1407</v>
      </c>
      <c r="CH114" t="s">
        <v>269</v>
      </c>
      <c r="CI114" t="s">
        <v>256</v>
      </c>
      <c r="CP114" t="s">
        <v>267</v>
      </c>
      <c r="EP114" t="s">
        <v>308</v>
      </c>
      <c r="EQ114" t="s">
        <v>308</v>
      </c>
      <c r="FM114" t="s">
        <v>269</v>
      </c>
    </row>
    <row r="115" spans="51:169">
      <c r="AY115" t="s">
        <v>283</v>
      </c>
      <c r="AZ115" t="s">
        <v>1048</v>
      </c>
      <c r="BB115" t="s">
        <v>260</v>
      </c>
      <c r="BY115" t="s">
        <v>312</v>
      </c>
      <c r="BZ115" t="s">
        <v>312</v>
      </c>
      <c r="CA115" t="s">
        <v>275</v>
      </c>
      <c r="CB115" t="s">
        <v>275</v>
      </c>
      <c r="CG115" t="s">
        <v>1408</v>
      </c>
      <c r="CH115" t="s">
        <v>271</v>
      </c>
      <c r="CI115" t="s">
        <v>258</v>
      </c>
      <c r="CP115" t="s">
        <v>269</v>
      </c>
      <c r="EP115" t="s">
        <v>925</v>
      </c>
      <c r="EQ115" t="s">
        <v>925</v>
      </c>
      <c r="FM115" t="s">
        <v>271</v>
      </c>
    </row>
    <row r="116" spans="51:169">
      <c r="AY116" t="s">
        <v>924</v>
      </c>
      <c r="AZ116" t="s">
        <v>1049</v>
      </c>
      <c r="BB116" t="s">
        <v>262</v>
      </c>
      <c r="BY116" t="s">
        <v>314</v>
      </c>
      <c r="BZ116" t="s">
        <v>314</v>
      </c>
      <c r="CA116" t="s">
        <v>277</v>
      </c>
      <c r="CB116" t="s">
        <v>277</v>
      </c>
      <c r="CG116" t="s">
        <v>1409</v>
      </c>
      <c r="CH116" t="s">
        <v>273</v>
      </c>
      <c r="CI116" t="s">
        <v>260</v>
      </c>
      <c r="CP116" t="s">
        <v>271</v>
      </c>
      <c r="EP116" t="s">
        <v>312</v>
      </c>
      <c r="EQ116" t="s">
        <v>312</v>
      </c>
      <c r="FM116" t="s">
        <v>273</v>
      </c>
    </row>
    <row r="117" spans="51:169">
      <c r="AY117" t="s">
        <v>285</v>
      </c>
      <c r="AZ117" t="s">
        <v>1050</v>
      </c>
      <c r="BB117" t="s">
        <v>264</v>
      </c>
      <c r="BY117" t="s">
        <v>316</v>
      </c>
      <c r="BZ117" t="s">
        <v>316</v>
      </c>
      <c r="CA117" t="s">
        <v>279</v>
      </c>
      <c r="CB117" t="s">
        <v>279</v>
      </c>
      <c r="CG117" t="s">
        <v>1410</v>
      </c>
      <c r="CH117" t="s">
        <v>275</v>
      </c>
      <c r="CI117" t="s">
        <v>262</v>
      </c>
      <c r="CP117" t="s">
        <v>273</v>
      </c>
      <c r="EP117" t="s">
        <v>314</v>
      </c>
      <c r="EQ117" t="s">
        <v>314</v>
      </c>
      <c r="FM117" t="s">
        <v>275</v>
      </c>
    </row>
    <row r="118" spans="51:169">
      <c r="AY118" t="s">
        <v>287</v>
      </c>
      <c r="AZ118" t="s">
        <v>1051</v>
      </c>
      <c r="BB118" t="s">
        <v>266</v>
      </c>
      <c r="BY118" t="s">
        <v>318</v>
      </c>
      <c r="BZ118" t="s">
        <v>318</v>
      </c>
      <c r="CA118" t="s">
        <v>281</v>
      </c>
      <c r="CB118" t="s">
        <v>281</v>
      </c>
      <c r="CG118" t="s">
        <v>1411</v>
      </c>
      <c r="CH118" t="s">
        <v>277</v>
      </c>
      <c r="CI118" t="s">
        <v>264</v>
      </c>
      <c r="CP118" t="s">
        <v>275</v>
      </c>
      <c r="EP118" t="s">
        <v>316</v>
      </c>
      <c r="EQ118" t="s">
        <v>316</v>
      </c>
      <c r="FM118" t="s">
        <v>277</v>
      </c>
    </row>
    <row r="119" spans="51:169">
      <c r="AY119" t="s">
        <v>289</v>
      </c>
      <c r="AZ119" t="s">
        <v>1052</v>
      </c>
      <c r="BB119" t="s">
        <v>268</v>
      </c>
      <c r="BY119" t="s">
        <v>320</v>
      </c>
      <c r="BZ119" t="s">
        <v>320</v>
      </c>
      <c r="CA119" t="s">
        <v>283</v>
      </c>
      <c r="CB119" t="s">
        <v>283</v>
      </c>
      <c r="CG119" t="s">
        <v>1412</v>
      </c>
      <c r="CH119" t="s">
        <v>279</v>
      </c>
      <c r="CI119" t="s">
        <v>266</v>
      </c>
      <c r="CP119" t="s">
        <v>277</v>
      </c>
      <c r="EP119" t="s">
        <v>318</v>
      </c>
      <c r="EQ119" t="s">
        <v>318</v>
      </c>
      <c r="FM119" t="s">
        <v>279</v>
      </c>
    </row>
    <row r="120" spans="51:169">
      <c r="AY120" t="s">
        <v>291</v>
      </c>
      <c r="AZ120" t="s">
        <v>1053</v>
      </c>
      <c r="BB120" t="s">
        <v>270</v>
      </c>
      <c r="BY120" t="s">
        <v>324</v>
      </c>
      <c r="BZ120" t="s">
        <v>324</v>
      </c>
      <c r="CA120" t="s">
        <v>924</v>
      </c>
      <c r="CB120" t="s">
        <v>924</v>
      </c>
      <c r="CG120" t="s">
        <v>1413</v>
      </c>
      <c r="CH120" t="s">
        <v>281</v>
      </c>
      <c r="CI120" t="s">
        <v>268</v>
      </c>
      <c r="CP120" t="s">
        <v>279</v>
      </c>
      <c r="EP120" t="s">
        <v>320</v>
      </c>
      <c r="EQ120" t="s">
        <v>320</v>
      </c>
      <c r="FM120" t="s">
        <v>281</v>
      </c>
    </row>
    <row r="121" spans="51:169">
      <c r="AY121" t="s">
        <v>293</v>
      </c>
      <c r="AZ121" t="s">
        <v>1054</v>
      </c>
      <c r="BB121" t="s">
        <v>272</v>
      </c>
      <c r="BY121" t="s">
        <v>326</v>
      </c>
      <c r="BZ121" t="s">
        <v>326</v>
      </c>
      <c r="CA121" t="s">
        <v>285</v>
      </c>
      <c r="CB121" t="s">
        <v>285</v>
      </c>
      <c r="CG121" t="s">
        <v>1414</v>
      </c>
      <c r="CH121" t="s">
        <v>283</v>
      </c>
      <c r="CI121" t="s">
        <v>270</v>
      </c>
      <c r="CP121" t="s">
        <v>281</v>
      </c>
      <c r="EP121" t="s">
        <v>324</v>
      </c>
      <c r="EQ121" t="s">
        <v>324</v>
      </c>
      <c r="FM121" t="s">
        <v>283</v>
      </c>
    </row>
    <row r="122" spans="51:169">
      <c r="AY122" t="s">
        <v>295</v>
      </c>
      <c r="AZ122" t="s">
        <v>1055</v>
      </c>
      <c r="BB122" t="s">
        <v>274</v>
      </c>
      <c r="BY122" t="s">
        <v>328</v>
      </c>
      <c r="BZ122" t="s">
        <v>328</v>
      </c>
      <c r="CA122" t="s">
        <v>287</v>
      </c>
      <c r="CB122" t="s">
        <v>287</v>
      </c>
      <c r="CG122" t="s">
        <v>1415</v>
      </c>
      <c r="CH122" t="s">
        <v>924</v>
      </c>
      <c r="CI122" t="s">
        <v>272</v>
      </c>
      <c r="CP122" t="s">
        <v>283</v>
      </c>
      <c r="EP122" t="s">
        <v>326</v>
      </c>
      <c r="EQ122" t="s">
        <v>326</v>
      </c>
      <c r="FM122" t="s">
        <v>924</v>
      </c>
    </row>
    <row r="123" spans="51:169">
      <c r="AY123" t="s">
        <v>297</v>
      </c>
      <c r="AZ123" t="s">
        <v>1056</v>
      </c>
      <c r="BB123" t="s">
        <v>276</v>
      </c>
      <c r="BY123" t="s">
        <v>330</v>
      </c>
      <c r="BZ123" t="s">
        <v>330</v>
      </c>
      <c r="CA123" t="s">
        <v>289</v>
      </c>
      <c r="CB123" t="s">
        <v>289</v>
      </c>
      <c r="CG123" t="s">
        <v>1416</v>
      </c>
      <c r="CH123" t="s">
        <v>285</v>
      </c>
      <c r="CI123" t="s">
        <v>274</v>
      </c>
      <c r="CP123" t="s">
        <v>924</v>
      </c>
      <c r="EP123" t="s">
        <v>328</v>
      </c>
      <c r="EQ123" t="s">
        <v>328</v>
      </c>
      <c r="FM123" t="s">
        <v>285</v>
      </c>
    </row>
    <row r="124" spans="51:169">
      <c r="AY124" t="s">
        <v>299</v>
      </c>
      <c r="AZ124" t="s">
        <v>1057</v>
      </c>
      <c r="BB124" t="s">
        <v>278</v>
      </c>
      <c r="BY124" t="s">
        <v>332</v>
      </c>
      <c r="BZ124" t="s">
        <v>332</v>
      </c>
      <c r="CA124" t="s">
        <v>291</v>
      </c>
      <c r="CB124" t="s">
        <v>291</v>
      </c>
      <c r="CG124" t="s">
        <v>1417</v>
      </c>
      <c r="CH124" t="s">
        <v>287</v>
      </c>
      <c r="CI124" t="s">
        <v>276</v>
      </c>
      <c r="CP124" t="s">
        <v>285</v>
      </c>
      <c r="EP124" t="s">
        <v>330</v>
      </c>
      <c r="EQ124" t="s">
        <v>330</v>
      </c>
      <c r="FM124" t="s">
        <v>287</v>
      </c>
    </row>
    <row r="125" spans="51:169">
      <c r="AY125" t="s">
        <v>301</v>
      </c>
      <c r="AZ125" t="s">
        <v>1058</v>
      </c>
      <c r="BB125" t="s">
        <v>280</v>
      </c>
      <c r="BY125" t="s">
        <v>334</v>
      </c>
      <c r="BZ125" t="s">
        <v>334</v>
      </c>
      <c r="CA125" t="s">
        <v>293</v>
      </c>
      <c r="CB125" t="s">
        <v>293</v>
      </c>
      <c r="CG125" t="s">
        <v>1418</v>
      </c>
      <c r="CH125" t="s">
        <v>289</v>
      </c>
      <c r="CI125" t="s">
        <v>278</v>
      </c>
      <c r="CP125" t="s">
        <v>287</v>
      </c>
      <c r="EP125" t="s">
        <v>332</v>
      </c>
      <c r="EQ125" t="s">
        <v>332</v>
      </c>
      <c r="FM125" t="s">
        <v>289</v>
      </c>
    </row>
    <row r="126" spans="51:169">
      <c r="AY126" t="s">
        <v>303</v>
      </c>
      <c r="AZ126" t="s">
        <v>1059</v>
      </c>
      <c r="BB126" t="s">
        <v>282</v>
      </c>
      <c r="BY126" t="s">
        <v>336</v>
      </c>
      <c r="BZ126" t="s">
        <v>336</v>
      </c>
      <c r="CA126" t="s">
        <v>295</v>
      </c>
      <c r="CB126" t="s">
        <v>295</v>
      </c>
      <c r="CG126" t="s">
        <v>1419</v>
      </c>
      <c r="CH126" t="s">
        <v>291</v>
      </c>
      <c r="CI126" t="s">
        <v>280</v>
      </c>
      <c r="CP126" t="s">
        <v>289</v>
      </c>
      <c r="EP126" t="s">
        <v>334</v>
      </c>
      <c r="EQ126" t="s">
        <v>334</v>
      </c>
      <c r="FM126" t="s">
        <v>291</v>
      </c>
    </row>
    <row r="127" spans="51:169">
      <c r="AY127" t="s">
        <v>305</v>
      </c>
      <c r="AZ127" t="s">
        <v>1060</v>
      </c>
      <c r="BB127" t="s">
        <v>284</v>
      </c>
      <c r="BY127" t="s">
        <v>338</v>
      </c>
      <c r="BZ127" t="s">
        <v>338</v>
      </c>
      <c r="CA127" t="s">
        <v>297</v>
      </c>
      <c r="CB127" t="s">
        <v>297</v>
      </c>
      <c r="CG127" t="s">
        <v>1420</v>
      </c>
      <c r="CH127" t="s">
        <v>293</v>
      </c>
      <c r="CI127" t="s">
        <v>282</v>
      </c>
      <c r="CP127" t="s">
        <v>291</v>
      </c>
      <c r="EP127" t="s">
        <v>336</v>
      </c>
      <c r="EQ127" t="s">
        <v>336</v>
      </c>
      <c r="FM127" t="s">
        <v>293</v>
      </c>
    </row>
    <row r="128" spans="51:169">
      <c r="AY128" t="s">
        <v>308</v>
      </c>
      <c r="AZ128" t="s">
        <v>1061</v>
      </c>
      <c r="BB128" t="s">
        <v>286</v>
      </c>
      <c r="BY128" t="s">
        <v>340</v>
      </c>
      <c r="BZ128" t="s">
        <v>340</v>
      </c>
      <c r="CA128" t="s">
        <v>299</v>
      </c>
      <c r="CB128" t="s">
        <v>299</v>
      </c>
      <c r="CG128" t="s">
        <v>1421</v>
      </c>
      <c r="CH128" t="s">
        <v>295</v>
      </c>
      <c r="CI128" t="s">
        <v>284</v>
      </c>
      <c r="CP128" t="s">
        <v>293</v>
      </c>
      <c r="EP128" t="s">
        <v>338</v>
      </c>
      <c r="EQ128" t="s">
        <v>338</v>
      </c>
      <c r="FM128" t="s">
        <v>295</v>
      </c>
    </row>
    <row r="129" spans="51:169">
      <c r="AY129" t="s">
        <v>925</v>
      </c>
      <c r="AZ129" t="s">
        <v>1062</v>
      </c>
      <c r="BB129" t="s">
        <v>288</v>
      </c>
      <c r="BY129" t="s">
        <v>342</v>
      </c>
      <c r="BZ129" t="s">
        <v>342</v>
      </c>
      <c r="CA129" t="s">
        <v>301</v>
      </c>
      <c r="CB129" t="s">
        <v>301</v>
      </c>
      <c r="CG129" t="s">
        <v>1422</v>
      </c>
      <c r="CH129" t="s">
        <v>297</v>
      </c>
      <c r="CI129" t="s">
        <v>286</v>
      </c>
      <c r="CP129" t="s">
        <v>295</v>
      </c>
      <c r="EP129" t="s">
        <v>340</v>
      </c>
      <c r="EQ129" t="s">
        <v>340</v>
      </c>
      <c r="FM129" t="s">
        <v>297</v>
      </c>
    </row>
    <row r="130" spans="51:169">
      <c r="AY130" t="s">
        <v>312</v>
      </c>
      <c r="AZ130" t="s">
        <v>1063</v>
      </c>
      <c r="BB130" t="s">
        <v>290</v>
      </c>
      <c r="BY130" t="s">
        <v>344</v>
      </c>
      <c r="BZ130" t="s">
        <v>344</v>
      </c>
      <c r="CA130" t="s">
        <v>303</v>
      </c>
      <c r="CB130" t="s">
        <v>303</v>
      </c>
      <c r="CG130" t="s">
        <v>1423</v>
      </c>
      <c r="CH130" t="s">
        <v>299</v>
      </c>
      <c r="CI130" t="s">
        <v>288</v>
      </c>
      <c r="CP130" t="s">
        <v>297</v>
      </c>
      <c r="EP130" t="s">
        <v>342</v>
      </c>
      <c r="EQ130" t="s">
        <v>342</v>
      </c>
      <c r="FM130" t="s">
        <v>299</v>
      </c>
    </row>
    <row r="131" spans="51:169">
      <c r="AY131" t="s">
        <v>314</v>
      </c>
      <c r="AZ131" t="s">
        <v>1064</v>
      </c>
      <c r="BB131" t="s">
        <v>292</v>
      </c>
      <c r="BY131" t="s">
        <v>346</v>
      </c>
      <c r="BZ131" t="s">
        <v>346</v>
      </c>
      <c r="CA131" t="s">
        <v>305</v>
      </c>
      <c r="CB131" t="s">
        <v>305</v>
      </c>
      <c r="CG131" t="s">
        <v>1424</v>
      </c>
      <c r="CH131" t="s">
        <v>301</v>
      </c>
      <c r="CI131" t="s">
        <v>290</v>
      </c>
      <c r="CP131" t="s">
        <v>299</v>
      </c>
      <c r="EP131" t="s">
        <v>344</v>
      </c>
      <c r="EQ131" t="s">
        <v>344</v>
      </c>
      <c r="FM131" t="s">
        <v>301</v>
      </c>
    </row>
    <row r="132" spans="51:169">
      <c r="AY132" t="s">
        <v>316</v>
      </c>
      <c r="AZ132" t="s">
        <v>1065</v>
      </c>
      <c r="BB132" t="s">
        <v>294</v>
      </c>
      <c r="BY132" t="s">
        <v>348</v>
      </c>
      <c r="BZ132" t="s">
        <v>348</v>
      </c>
      <c r="CA132" t="s">
        <v>308</v>
      </c>
      <c r="CB132" t="s">
        <v>308</v>
      </c>
      <c r="CG132" t="s">
        <v>1425</v>
      </c>
      <c r="CH132" t="s">
        <v>303</v>
      </c>
      <c r="CI132" t="s">
        <v>292</v>
      </c>
      <c r="CP132" t="s">
        <v>301</v>
      </c>
      <c r="EP132" t="s">
        <v>346</v>
      </c>
      <c r="EQ132" t="s">
        <v>346</v>
      </c>
      <c r="FM132" t="s">
        <v>303</v>
      </c>
    </row>
    <row r="133" spans="51:169">
      <c r="AY133" t="s">
        <v>318</v>
      </c>
      <c r="AZ133" t="s">
        <v>1066</v>
      </c>
      <c r="BB133" t="s">
        <v>296</v>
      </c>
      <c r="BY133" t="s">
        <v>350</v>
      </c>
      <c r="BZ133" t="s">
        <v>350</v>
      </c>
      <c r="CA133" t="s">
        <v>925</v>
      </c>
      <c r="CB133" t="s">
        <v>925</v>
      </c>
      <c r="CG133" t="s">
        <v>1426</v>
      </c>
      <c r="CH133" t="s">
        <v>305</v>
      </c>
      <c r="CI133" t="s">
        <v>294</v>
      </c>
      <c r="CP133" t="s">
        <v>303</v>
      </c>
      <c r="EP133" t="s">
        <v>348</v>
      </c>
      <c r="EQ133" t="s">
        <v>348</v>
      </c>
      <c r="FM133" t="s">
        <v>305</v>
      </c>
    </row>
    <row r="134" spans="51:169">
      <c r="AY134" t="s">
        <v>320</v>
      </c>
      <c r="AZ134" t="s">
        <v>1067</v>
      </c>
      <c r="BB134" t="s">
        <v>298</v>
      </c>
      <c r="BY134" t="s">
        <v>352</v>
      </c>
      <c r="BZ134" t="s">
        <v>352</v>
      </c>
      <c r="CA134" t="s">
        <v>312</v>
      </c>
      <c r="CB134" t="s">
        <v>312</v>
      </c>
      <c r="CG134" t="s">
        <v>1427</v>
      </c>
      <c r="CH134" t="s">
        <v>308</v>
      </c>
      <c r="CI134" t="s">
        <v>296</v>
      </c>
      <c r="CP134" t="s">
        <v>305</v>
      </c>
      <c r="EP134" t="s">
        <v>350</v>
      </c>
      <c r="EQ134" t="s">
        <v>350</v>
      </c>
      <c r="FM134" t="s">
        <v>308</v>
      </c>
    </row>
    <row r="135" spans="51:169">
      <c r="AY135" t="s">
        <v>322</v>
      </c>
      <c r="AZ135" t="s">
        <v>1068</v>
      </c>
      <c r="BB135" t="s">
        <v>300</v>
      </c>
      <c r="BY135" t="s">
        <v>354</v>
      </c>
      <c r="BZ135" t="s">
        <v>354</v>
      </c>
      <c r="CA135" t="s">
        <v>314</v>
      </c>
      <c r="CB135" t="s">
        <v>314</v>
      </c>
      <c r="CG135" t="s">
        <v>1428</v>
      </c>
      <c r="CH135" t="s">
        <v>925</v>
      </c>
      <c r="CI135" t="s">
        <v>298</v>
      </c>
      <c r="CP135" t="s">
        <v>308</v>
      </c>
      <c r="EP135" t="s">
        <v>352</v>
      </c>
      <c r="EQ135" t="s">
        <v>352</v>
      </c>
      <c r="FM135" t="s">
        <v>925</v>
      </c>
    </row>
    <row r="136" spans="51:169">
      <c r="AY136" t="s">
        <v>324</v>
      </c>
      <c r="AZ136" t="s">
        <v>1069</v>
      </c>
      <c r="BB136" t="s">
        <v>302</v>
      </c>
      <c r="BY136" t="s">
        <v>356</v>
      </c>
      <c r="BZ136" t="s">
        <v>356</v>
      </c>
      <c r="CA136" t="s">
        <v>316</v>
      </c>
      <c r="CB136" t="s">
        <v>316</v>
      </c>
      <c r="CG136" t="s">
        <v>1429</v>
      </c>
      <c r="CH136" t="s">
        <v>312</v>
      </c>
      <c r="CI136" t="s">
        <v>300</v>
      </c>
      <c r="CP136" t="s">
        <v>925</v>
      </c>
      <c r="EP136" t="s">
        <v>354</v>
      </c>
      <c r="EQ136" t="s">
        <v>354</v>
      </c>
      <c r="FM136" t="s">
        <v>312</v>
      </c>
    </row>
    <row r="137" spans="51:169">
      <c r="AY137" t="s">
        <v>326</v>
      </c>
      <c r="AZ137" t="s">
        <v>1070</v>
      </c>
      <c r="BB137" t="s">
        <v>304</v>
      </c>
      <c r="BY137" t="s">
        <v>358</v>
      </c>
      <c r="BZ137" t="s">
        <v>358</v>
      </c>
      <c r="CA137" t="s">
        <v>318</v>
      </c>
      <c r="CB137" t="s">
        <v>318</v>
      </c>
      <c r="CG137" t="s">
        <v>1430</v>
      </c>
      <c r="CH137" t="s">
        <v>314</v>
      </c>
      <c r="CI137" t="s">
        <v>302</v>
      </c>
      <c r="CP137" t="s">
        <v>312</v>
      </c>
      <c r="EP137" t="s">
        <v>356</v>
      </c>
      <c r="EQ137" t="s">
        <v>356</v>
      </c>
      <c r="FM137" t="s">
        <v>314</v>
      </c>
    </row>
    <row r="138" spans="51:169">
      <c r="AY138" t="s">
        <v>328</v>
      </c>
      <c r="AZ138" t="s">
        <v>1071</v>
      </c>
      <c r="BB138" t="s">
        <v>309</v>
      </c>
      <c r="BY138" t="s">
        <v>362</v>
      </c>
      <c r="BZ138" t="s">
        <v>362</v>
      </c>
      <c r="CA138" t="s">
        <v>320</v>
      </c>
      <c r="CB138" t="s">
        <v>320</v>
      </c>
      <c r="CG138" t="s">
        <v>1431</v>
      </c>
      <c r="CH138" t="s">
        <v>316</v>
      </c>
      <c r="CI138" t="s">
        <v>304</v>
      </c>
      <c r="CP138" t="s">
        <v>314</v>
      </c>
      <c r="EP138" t="s">
        <v>358</v>
      </c>
      <c r="EQ138" t="s">
        <v>358</v>
      </c>
      <c r="FM138" t="s">
        <v>316</v>
      </c>
    </row>
    <row r="139" spans="51:169">
      <c r="AY139" t="s">
        <v>330</v>
      </c>
      <c r="AZ139" t="s">
        <v>1072</v>
      </c>
      <c r="BB139" t="s">
        <v>1140</v>
      </c>
      <c r="BY139" t="s">
        <v>364</v>
      </c>
      <c r="BZ139" t="s">
        <v>364</v>
      </c>
      <c r="CA139" t="s">
        <v>322</v>
      </c>
      <c r="CB139" t="s">
        <v>322</v>
      </c>
      <c r="CG139" t="s">
        <v>1432</v>
      </c>
      <c r="CH139" t="s">
        <v>318</v>
      </c>
      <c r="CI139" t="s">
        <v>309</v>
      </c>
      <c r="CP139" t="s">
        <v>316</v>
      </c>
      <c r="EP139" t="s">
        <v>362</v>
      </c>
      <c r="EQ139" t="s">
        <v>362</v>
      </c>
      <c r="FM139" t="s">
        <v>318</v>
      </c>
    </row>
    <row r="140" spans="51:169">
      <c r="AY140" t="s">
        <v>332</v>
      </c>
      <c r="AZ140" t="s">
        <v>1073</v>
      </c>
      <c r="BB140" t="s">
        <v>311</v>
      </c>
      <c r="BY140" t="s">
        <v>366</v>
      </c>
      <c r="BZ140" t="s">
        <v>366</v>
      </c>
      <c r="CA140" t="s">
        <v>324</v>
      </c>
      <c r="CB140" t="s">
        <v>324</v>
      </c>
      <c r="CG140" t="s">
        <v>1433</v>
      </c>
      <c r="CH140" t="s">
        <v>320</v>
      </c>
      <c r="CI140" t="s">
        <v>1140</v>
      </c>
      <c r="CP140" t="s">
        <v>318</v>
      </c>
      <c r="EP140" t="s">
        <v>364</v>
      </c>
      <c r="EQ140" t="s">
        <v>364</v>
      </c>
      <c r="FM140" t="s">
        <v>320</v>
      </c>
    </row>
    <row r="141" spans="51:169">
      <c r="AY141" t="s">
        <v>334</v>
      </c>
      <c r="AZ141" t="s">
        <v>1074</v>
      </c>
      <c r="BB141" t="s">
        <v>1141</v>
      </c>
      <c r="BY141" t="s">
        <v>368</v>
      </c>
      <c r="BZ141" t="s">
        <v>368</v>
      </c>
      <c r="CA141" t="s">
        <v>326</v>
      </c>
      <c r="CB141" t="s">
        <v>326</v>
      </c>
      <c r="CG141" t="s">
        <v>1434</v>
      </c>
      <c r="CH141" t="s">
        <v>322</v>
      </c>
      <c r="CI141" t="s">
        <v>311</v>
      </c>
      <c r="CP141" t="s">
        <v>320</v>
      </c>
      <c r="EP141" t="s">
        <v>366</v>
      </c>
      <c r="EQ141" t="s">
        <v>366</v>
      </c>
      <c r="FM141" t="s">
        <v>322</v>
      </c>
    </row>
    <row r="142" spans="51:169">
      <c r="AY142" t="s">
        <v>336</v>
      </c>
      <c r="AZ142" t="s">
        <v>1075</v>
      </c>
      <c r="BB142" t="s">
        <v>313</v>
      </c>
      <c r="BY142" t="s">
        <v>370</v>
      </c>
      <c r="BZ142" t="s">
        <v>370</v>
      </c>
      <c r="CA142" t="s">
        <v>328</v>
      </c>
      <c r="CB142" t="s">
        <v>328</v>
      </c>
      <c r="CG142" t="s">
        <v>1435</v>
      </c>
      <c r="CH142" t="s">
        <v>324</v>
      </c>
      <c r="CI142" t="s">
        <v>1141</v>
      </c>
      <c r="CP142" t="s">
        <v>322</v>
      </c>
      <c r="EP142" t="s">
        <v>368</v>
      </c>
      <c r="EQ142" t="s">
        <v>368</v>
      </c>
      <c r="FM142" t="s">
        <v>324</v>
      </c>
    </row>
    <row r="143" spans="51:169">
      <c r="AY143" t="s">
        <v>338</v>
      </c>
      <c r="AZ143" t="s">
        <v>1076</v>
      </c>
      <c r="BB143" t="s">
        <v>315</v>
      </c>
      <c r="BY143" t="s">
        <v>372</v>
      </c>
      <c r="BZ143" t="s">
        <v>372</v>
      </c>
      <c r="CA143" t="s">
        <v>330</v>
      </c>
      <c r="CB143" t="s">
        <v>330</v>
      </c>
      <c r="CG143" t="s">
        <v>1436</v>
      </c>
      <c r="CH143" t="s">
        <v>326</v>
      </c>
      <c r="CI143" t="s">
        <v>313</v>
      </c>
      <c r="CP143" t="s">
        <v>324</v>
      </c>
      <c r="EP143" t="s">
        <v>370</v>
      </c>
      <c r="EQ143" t="s">
        <v>370</v>
      </c>
      <c r="FM143" t="s">
        <v>326</v>
      </c>
    </row>
    <row r="144" spans="51:169">
      <c r="AY144" t="s">
        <v>340</v>
      </c>
      <c r="AZ144" t="s">
        <v>1077</v>
      </c>
      <c r="BB144" t="s">
        <v>317</v>
      </c>
      <c r="BY144" t="s">
        <v>374</v>
      </c>
      <c r="BZ144" t="s">
        <v>374</v>
      </c>
      <c r="CA144" t="s">
        <v>332</v>
      </c>
      <c r="CB144" t="s">
        <v>332</v>
      </c>
      <c r="CG144" t="s">
        <v>1437</v>
      </c>
      <c r="CH144" t="s">
        <v>328</v>
      </c>
      <c r="CI144" t="s">
        <v>315</v>
      </c>
      <c r="CP144" t="s">
        <v>326</v>
      </c>
      <c r="EP144" t="s">
        <v>372</v>
      </c>
      <c r="EQ144" t="s">
        <v>372</v>
      </c>
      <c r="FM144" t="s">
        <v>328</v>
      </c>
    </row>
    <row r="145" spans="51:169">
      <c r="AY145" t="s">
        <v>342</v>
      </c>
      <c r="AZ145" t="s">
        <v>1078</v>
      </c>
      <c r="BB145" t="s">
        <v>319</v>
      </c>
      <c r="BY145" t="s">
        <v>375</v>
      </c>
      <c r="BZ145" t="s">
        <v>375</v>
      </c>
      <c r="CA145" t="s">
        <v>334</v>
      </c>
      <c r="CB145" t="s">
        <v>334</v>
      </c>
      <c r="CG145" t="s">
        <v>1438</v>
      </c>
      <c r="CH145" t="s">
        <v>330</v>
      </c>
      <c r="CI145" t="s">
        <v>317</v>
      </c>
      <c r="CP145" t="s">
        <v>328</v>
      </c>
      <c r="EP145" t="s">
        <v>374</v>
      </c>
      <c r="EQ145" t="s">
        <v>374</v>
      </c>
      <c r="FM145" t="s">
        <v>330</v>
      </c>
    </row>
    <row r="146" spans="51:169">
      <c r="AY146" t="s">
        <v>344</v>
      </c>
      <c r="AZ146" t="s">
        <v>1079</v>
      </c>
      <c r="BB146" t="s">
        <v>321</v>
      </c>
      <c r="BY146" t="s">
        <v>378</v>
      </c>
      <c r="BZ146" t="s">
        <v>378</v>
      </c>
      <c r="CA146" t="s">
        <v>336</v>
      </c>
      <c r="CB146" t="s">
        <v>336</v>
      </c>
      <c r="CG146" t="s">
        <v>1439</v>
      </c>
      <c r="CH146" t="s">
        <v>332</v>
      </c>
      <c r="CI146" t="s">
        <v>319</v>
      </c>
      <c r="CP146" t="s">
        <v>330</v>
      </c>
      <c r="EP146" t="s">
        <v>375</v>
      </c>
      <c r="EQ146" t="s">
        <v>375</v>
      </c>
      <c r="FM146" t="s">
        <v>332</v>
      </c>
    </row>
    <row r="147" spans="51:169">
      <c r="AY147" t="s">
        <v>348</v>
      </c>
      <c r="AZ147" t="s">
        <v>1080</v>
      </c>
      <c r="BB147" t="s">
        <v>323</v>
      </c>
      <c r="BY147" t="s">
        <v>379</v>
      </c>
      <c r="BZ147" t="s">
        <v>379</v>
      </c>
      <c r="CA147" t="s">
        <v>338</v>
      </c>
      <c r="CB147" t="s">
        <v>338</v>
      </c>
      <c r="CG147" t="s">
        <v>1440</v>
      </c>
      <c r="CH147" t="s">
        <v>334</v>
      </c>
      <c r="CI147" t="s">
        <v>321</v>
      </c>
      <c r="CP147" t="s">
        <v>332</v>
      </c>
      <c r="EP147" t="s">
        <v>378</v>
      </c>
      <c r="EQ147" t="s">
        <v>378</v>
      </c>
      <c r="FM147" t="s">
        <v>334</v>
      </c>
    </row>
    <row r="148" spans="51:169">
      <c r="AY148" t="s">
        <v>350</v>
      </c>
      <c r="AZ148" t="s">
        <v>1081</v>
      </c>
      <c r="BB148" t="s">
        <v>325</v>
      </c>
      <c r="BY148" t="s">
        <v>380</v>
      </c>
      <c r="BZ148" t="s">
        <v>380</v>
      </c>
      <c r="CA148" t="s">
        <v>340</v>
      </c>
      <c r="CB148" t="s">
        <v>340</v>
      </c>
      <c r="CG148" t="s">
        <v>1441</v>
      </c>
      <c r="CH148" t="s">
        <v>336</v>
      </c>
      <c r="CI148" t="s">
        <v>323</v>
      </c>
      <c r="CP148" t="s">
        <v>334</v>
      </c>
      <c r="EP148" t="s">
        <v>379</v>
      </c>
      <c r="EQ148" t="s">
        <v>379</v>
      </c>
      <c r="FM148" t="s">
        <v>336</v>
      </c>
    </row>
    <row r="149" spans="51:169">
      <c r="AY149" t="s">
        <v>352</v>
      </c>
      <c r="AZ149" t="s">
        <v>1082</v>
      </c>
      <c r="BB149" t="s">
        <v>327</v>
      </c>
      <c r="BY149" t="s">
        <v>926</v>
      </c>
      <c r="BZ149" t="s">
        <v>926</v>
      </c>
      <c r="CA149" t="s">
        <v>342</v>
      </c>
      <c r="CB149" t="s">
        <v>342</v>
      </c>
      <c r="CG149" t="s">
        <v>1442</v>
      </c>
      <c r="CH149" t="s">
        <v>338</v>
      </c>
      <c r="CI149" t="s">
        <v>325</v>
      </c>
      <c r="CP149" t="s">
        <v>336</v>
      </c>
      <c r="EP149" t="s">
        <v>380</v>
      </c>
      <c r="EQ149" t="s">
        <v>380</v>
      </c>
      <c r="FM149" t="s">
        <v>338</v>
      </c>
    </row>
    <row r="150" spans="51:169">
      <c r="AY150" t="s">
        <v>354</v>
      </c>
      <c r="AZ150" t="s">
        <v>1083</v>
      </c>
      <c r="BB150" t="s">
        <v>329</v>
      </c>
      <c r="BY150" t="s">
        <v>382</v>
      </c>
      <c r="BZ150" t="s">
        <v>382</v>
      </c>
      <c r="CA150" t="s">
        <v>344</v>
      </c>
      <c r="CB150" t="s">
        <v>344</v>
      </c>
      <c r="CG150" t="s">
        <v>1443</v>
      </c>
      <c r="CH150" t="s">
        <v>340</v>
      </c>
      <c r="CI150" t="s">
        <v>327</v>
      </c>
      <c r="CP150" t="s">
        <v>338</v>
      </c>
      <c r="EP150" t="s">
        <v>926</v>
      </c>
      <c r="EQ150" t="s">
        <v>926</v>
      </c>
      <c r="FM150" t="s">
        <v>340</v>
      </c>
    </row>
    <row r="151" spans="51:169">
      <c r="AY151" t="s">
        <v>356</v>
      </c>
      <c r="AZ151" t="s">
        <v>1084</v>
      </c>
      <c r="BB151" t="s">
        <v>331</v>
      </c>
      <c r="BY151" t="s">
        <v>383</v>
      </c>
      <c r="BZ151" t="s">
        <v>383</v>
      </c>
      <c r="CA151" t="s">
        <v>346</v>
      </c>
      <c r="CB151" t="s">
        <v>346</v>
      </c>
      <c r="CG151" t="s">
        <v>1444</v>
      </c>
      <c r="CH151" t="s">
        <v>342</v>
      </c>
      <c r="CI151" t="s">
        <v>329</v>
      </c>
      <c r="CP151" t="s">
        <v>340</v>
      </c>
      <c r="EP151" t="s">
        <v>382</v>
      </c>
      <c r="EQ151" t="s">
        <v>382</v>
      </c>
      <c r="FM151" t="s">
        <v>342</v>
      </c>
    </row>
    <row r="152" spans="51:169">
      <c r="AY152" t="s">
        <v>358</v>
      </c>
      <c r="AZ152" t="s">
        <v>1085</v>
      </c>
      <c r="BB152" t="s">
        <v>335</v>
      </c>
      <c r="BY152" t="s">
        <v>384</v>
      </c>
      <c r="BZ152" t="s">
        <v>384</v>
      </c>
      <c r="CA152" t="s">
        <v>348</v>
      </c>
      <c r="CB152" t="s">
        <v>348</v>
      </c>
      <c r="CG152" t="s">
        <v>1445</v>
      </c>
      <c r="CH152" t="s">
        <v>344</v>
      </c>
      <c r="CI152" t="s">
        <v>331</v>
      </c>
      <c r="CP152" t="s">
        <v>342</v>
      </c>
      <c r="EP152" t="s">
        <v>383</v>
      </c>
      <c r="EQ152" t="s">
        <v>383</v>
      </c>
      <c r="FM152" t="s">
        <v>344</v>
      </c>
    </row>
    <row r="153" spans="51:169">
      <c r="AY153" t="s">
        <v>360</v>
      </c>
      <c r="AZ153" t="s">
        <v>1086</v>
      </c>
      <c r="BB153" t="s">
        <v>337</v>
      </c>
      <c r="BY153" t="s">
        <v>385</v>
      </c>
      <c r="BZ153" t="s">
        <v>385</v>
      </c>
      <c r="CA153" t="s">
        <v>350</v>
      </c>
      <c r="CB153" t="s">
        <v>350</v>
      </c>
      <c r="CG153" t="s">
        <v>1446</v>
      </c>
      <c r="CH153" t="s">
        <v>346</v>
      </c>
      <c r="CI153" t="s">
        <v>335</v>
      </c>
      <c r="CP153" t="s">
        <v>344</v>
      </c>
      <c r="EP153" t="s">
        <v>384</v>
      </c>
      <c r="EQ153" t="s">
        <v>384</v>
      </c>
      <c r="FM153" t="s">
        <v>346</v>
      </c>
    </row>
    <row r="154" spans="51:169">
      <c r="AY154" t="s">
        <v>362</v>
      </c>
      <c r="AZ154" t="s">
        <v>1087</v>
      </c>
      <c r="BB154" t="s">
        <v>339</v>
      </c>
      <c r="BY154" t="s">
        <v>386</v>
      </c>
      <c r="BZ154" t="s">
        <v>386</v>
      </c>
      <c r="CA154" t="s">
        <v>352</v>
      </c>
      <c r="CB154" t="s">
        <v>352</v>
      </c>
      <c r="CG154" t="s">
        <v>1447</v>
      </c>
      <c r="CH154" t="s">
        <v>348</v>
      </c>
      <c r="CI154" t="s">
        <v>337</v>
      </c>
      <c r="CP154" t="s">
        <v>346</v>
      </c>
      <c r="EP154" t="s">
        <v>385</v>
      </c>
      <c r="EQ154" t="s">
        <v>385</v>
      </c>
      <c r="FM154" t="s">
        <v>348</v>
      </c>
    </row>
    <row r="155" spans="51:169">
      <c r="AY155" t="s">
        <v>364</v>
      </c>
      <c r="AZ155" t="s">
        <v>1088</v>
      </c>
      <c r="BB155" t="s">
        <v>341</v>
      </c>
      <c r="BY155" t="s">
        <v>387</v>
      </c>
      <c r="BZ155" t="s">
        <v>387</v>
      </c>
      <c r="CA155" t="s">
        <v>354</v>
      </c>
      <c r="CB155" t="s">
        <v>354</v>
      </c>
      <c r="CG155" t="s">
        <v>1448</v>
      </c>
      <c r="CH155" t="s">
        <v>350</v>
      </c>
      <c r="CI155" t="s">
        <v>339</v>
      </c>
      <c r="CP155" t="s">
        <v>348</v>
      </c>
      <c r="EP155" t="s">
        <v>386</v>
      </c>
      <c r="EQ155" t="s">
        <v>386</v>
      </c>
      <c r="FM155" t="s">
        <v>350</v>
      </c>
    </row>
    <row r="156" spans="51:169">
      <c r="AY156" t="s">
        <v>366</v>
      </c>
      <c r="AZ156" t="s">
        <v>1089</v>
      </c>
      <c r="BB156" t="s">
        <v>343</v>
      </c>
      <c r="BY156" t="s">
        <v>390</v>
      </c>
      <c r="BZ156" t="s">
        <v>390</v>
      </c>
      <c r="CA156" t="s">
        <v>356</v>
      </c>
      <c r="CB156" t="s">
        <v>356</v>
      </c>
      <c r="CG156" t="s">
        <v>1449</v>
      </c>
      <c r="CH156" t="s">
        <v>352</v>
      </c>
      <c r="CI156" t="s">
        <v>341</v>
      </c>
      <c r="CP156" t="s">
        <v>350</v>
      </c>
      <c r="EP156" t="s">
        <v>387</v>
      </c>
      <c r="EQ156" t="s">
        <v>387</v>
      </c>
      <c r="FM156" t="s">
        <v>352</v>
      </c>
    </row>
    <row r="157" spans="51:169">
      <c r="AY157" t="s">
        <v>368</v>
      </c>
      <c r="AZ157" t="s">
        <v>1090</v>
      </c>
      <c r="BB157" t="s">
        <v>1142</v>
      </c>
      <c r="BY157" t="s">
        <v>391</v>
      </c>
      <c r="BZ157" t="s">
        <v>391</v>
      </c>
      <c r="CA157" t="s">
        <v>358</v>
      </c>
      <c r="CB157" t="s">
        <v>358</v>
      </c>
      <c r="CG157" t="s">
        <v>1450</v>
      </c>
      <c r="CH157" t="s">
        <v>354</v>
      </c>
      <c r="CI157" t="s">
        <v>343</v>
      </c>
      <c r="CP157" t="s">
        <v>352</v>
      </c>
      <c r="EP157" t="s">
        <v>390</v>
      </c>
      <c r="EQ157" t="s">
        <v>390</v>
      </c>
      <c r="FM157" t="s">
        <v>354</v>
      </c>
    </row>
    <row r="158" spans="51:169">
      <c r="AY158" t="s">
        <v>370</v>
      </c>
      <c r="AZ158" t="s">
        <v>1091</v>
      </c>
      <c r="BB158" t="s">
        <v>1143</v>
      </c>
      <c r="BY158" t="s">
        <v>392</v>
      </c>
      <c r="BZ158" t="s">
        <v>392</v>
      </c>
      <c r="CA158" t="s">
        <v>360</v>
      </c>
      <c r="CB158" t="s">
        <v>360</v>
      </c>
      <c r="CG158" t="s">
        <v>1451</v>
      </c>
      <c r="CH158" t="s">
        <v>356</v>
      </c>
      <c r="CI158" t="s">
        <v>1142</v>
      </c>
      <c r="CP158" t="s">
        <v>354</v>
      </c>
      <c r="EP158" t="s">
        <v>391</v>
      </c>
      <c r="EQ158" t="s">
        <v>391</v>
      </c>
      <c r="FM158" t="s">
        <v>356</v>
      </c>
    </row>
    <row r="159" spans="51:169">
      <c r="AY159" t="s">
        <v>372</v>
      </c>
      <c r="AZ159" t="s">
        <v>1092</v>
      </c>
      <c r="BB159" t="s">
        <v>1144</v>
      </c>
      <c r="BY159" t="s">
        <v>394</v>
      </c>
      <c r="BZ159" t="s">
        <v>394</v>
      </c>
      <c r="CA159" t="s">
        <v>362</v>
      </c>
      <c r="CB159" t="s">
        <v>362</v>
      </c>
      <c r="CG159" t="s">
        <v>1452</v>
      </c>
      <c r="CH159" t="s">
        <v>358</v>
      </c>
      <c r="CI159" t="s">
        <v>1143</v>
      </c>
      <c r="CP159" t="s">
        <v>356</v>
      </c>
      <c r="EP159" t="s">
        <v>392</v>
      </c>
      <c r="EQ159" t="s">
        <v>392</v>
      </c>
      <c r="FM159" t="s">
        <v>358</v>
      </c>
    </row>
    <row r="160" spans="51:169">
      <c r="AY160" t="s">
        <v>374</v>
      </c>
      <c r="AZ160" t="s">
        <v>1093</v>
      </c>
      <c r="BB160" t="s">
        <v>345</v>
      </c>
      <c r="BY160" t="s">
        <v>395</v>
      </c>
      <c r="BZ160" t="s">
        <v>395</v>
      </c>
      <c r="CA160" t="s">
        <v>364</v>
      </c>
      <c r="CB160" t="s">
        <v>364</v>
      </c>
      <c r="CG160" t="s">
        <v>1453</v>
      </c>
      <c r="CH160" t="s">
        <v>360</v>
      </c>
      <c r="CI160" t="s">
        <v>1144</v>
      </c>
      <c r="CP160" t="s">
        <v>358</v>
      </c>
      <c r="EP160" t="s">
        <v>394</v>
      </c>
      <c r="EQ160" t="s">
        <v>394</v>
      </c>
      <c r="FM160" t="s">
        <v>360</v>
      </c>
    </row>
    <row r="161" spans="51:169">
      <c r="AY161" t="s">
        <v>375</v>
      </c>
      <c r="AZ161" t="s">
        <v>1094</v>
      </c>
      <c r="BB161" t="s">
        <v>1145</v>
      </c>
      <c r="BY161" t="s">
        <v>396</v>
      </c>
      <c r="BZ161" t="s">
        <v>396</v>
      </c>
      <c r="CA161" t="s">
        <v>366</v>
      </c>
      <c r="CB161" t="s">
        <v>366</v>
      </c>
      <c r="CG161" t="s">
        <v>1454</v>
      </c>
      <c r="CH161" t="s">
        <v>362</v>
      </c>
      <c r="CI161" t="s">
        <v>345</v>
      </c>
      <c r="CP161" t="s">
        <v>360</v>
      </c>
      <c r="EP161" t="s">
        <v>395</v>
      </c>
      <c r="EQ161" t="s">
        <v>395</v>
      </c>
      <c r="FM161" t="s">
        <v>362</v>
      </c>
    </row>
    <row r="162" spans="51:169">
      <c r="AY162" t="s">
        <v>376</v>
      </c>
      <c r="AZ162" t="s">
        <v>1095</v>
      </c>
      <c r="BB162" t="s">
        <v>347</v>
      </c>
      <c r="BY162" t="s">
        <v>397</v>
      </c>
      <c r="BZ162" t="s">
        <v>397</v>
      </c>
      <c r="CA162" t="s">
        <v>368</v>
      </c>
      <c r="CB162" t="s">
        <v>368</v>
      </c>
      <c r="CG162" t="s">
        <v>1455</v>
      </c>
      <c r="CH162" t="s">
        <v>364</v>
      </c>
      <c r="CI162" t="s">
        <v>1145</v>
      </c>
      <c r="CP162" t="s">
        <v>362</v>
      </c>
      <c r="EP162" t="s">
        <v>396</v>
      </c>
      <c r="EQ162" t="s">
        <v>396</v>
      </c>
      <c r="FM162" t="s">
        <v>364</v>
      </c>
    </row>
    <row r="163" spans="51:169">
      <c r="AY163" t="s">
        <v>378</v>
      </c>
      <c r="AZ163" t="s">
        <v>1096</v>
      </c>
      <c r="BB163" t="s">
        <v>349</v>
      </c>
      <c r="BY163" t="s">
        <v>398</v>
      </c>
      <c r="BZ163" t="s">
        <v>398</v>
      </c>
      <c r="CA163" t="s">
        <v>370</v>
      </c>
      <c r="CB163" t="s">
        <v>370</v>
      </c>
      <c r="CG163" t="s">
        <v>1456</v>
      </c>
      <c r="CH163" t="s">
        <v>366</v>
      </c>
      <c r="CI163" t="s">
        <v>347</v>
      </c>
      <c r="CP163" t="s">
        <v>364</v>
      </c>
      <c r="EP163" t="s">
        <v>397</v>
      </c>
      <c r="EQ163" t="s">
        <v>397</v>
      </c>
      <c r="FM163" t="s">
        <v>366</v>
      </c>
    </row>
    <row r="164" spans="51:169">
      <c r="AY164" t="s">
        <v>379</v>
      </c>
      <c r="AZ164" t="s">
        <v>1097</v>
      </c>
      <c r="BB164" t="s">
        <v>1146</v>
      </c>
      <c r="BY164" t="s">
        <v>399</v>
      </c>
      <c r="BZ164" t="s">
        <v>399</v>
      </c>
      <c r="CA164" t="s">
        <v>372</v>
      </c>
      <c r="CB164" t="s">
        <v>372</v>
      </c>
      <c r="CG164" t="s">
        <v>1457</v>
      </c>
      <c r="CH164" t="s">
        <v>368</v>
      </c>
      <c r="CI164" t="s">
        <v>349</v>
      </c>
      <c r="CP164" t="s">
        <v>366</v>
      </c>
      <c r="EP164" t="s">
        <v>398</v>
      </c>
      <c r="EQ164" t="s">
        <v>398</v>
      </c>
      <c r="FM164" t="s">
        <v>368</v>
      </c>
    </row>
    <row r="165" spans="51:169">
      <c r="AY165" t="s">
        <v>380</v>
      </c>
      <c r="AZ165" t="s">
        <v>1098</v>
      </c>
      <c r="BB165" t="s">
        <v>351</v>
      </c>
      <c r="BY165" t="s">
        <v>400</v>
      </c>
      <c r="BZ165" t="s">
        <v>400</v>
      </c>
      <c r="CA165" t="s">
        <v>374</v>
      </c>
      <c r="CB165" t="s">
        <v>374</v>
      </c>
      <c r="CG165" t="s">
        <v>1458</v>
      </c>
      <c r="CH165" t="s">
        <v>370</v>
      </c>
      <c r="CI165" t="s">
        <v>1146</v>
      </c>
      <c r="CP165" t="s">
        <v>368</v>
      </c>
      <c r="EP165" t="s">
        <v>399</v>
      </c>
      <c r="EQ165" t="s">
        <v>399</v>
      </c>
      <c r="FM165" t="s">
        <v>370</v>
      </c>
    </row>
    <row r="166" spans="51:169">
      <c r="AY166" t="s">
        <v>926</v>
      </c>
      <c r="AZ166" t="s">
        <v>1099</v>
      </c>
      <c r="BB166" t="s">
        <v>353</v>
      </c>
      <c r="BY166" t="s">
        <v>401</v>
      </c>
      <c r="BZ166" t="s">
        <v>401</v>
      </c>
      <c r="CA166" t="s">
        <v>375</v>
      </c>
      <c r="CB166" t="s">
        <v>375</v>
      </c>
      <c r="CG166" t="s">
        <v>1459</v>
      </c>
      <c r="CH166" t="s">
        <v>372</v>
      </c>
      <c r="CI166" t="s">
        <v>351</v>
      </c>
      <c r="CP166" t="s">
        <v>370</v>
      </c>
      <c r="EP166" t="s">
        <v>400</v>
      </c>
      <c r="EQ166" t="s">
        <v>400</v>
      </c>
      <c r="FM166" t="s">
        <v>372</v>
      </c>
    </row>
    <row r="167" spans="51:169">
      <c r="AY167" t="s">
        <v>382</v>
      </c>
      <c r="AZ167" t="s">
        <v>1100</v>
      </c>
      <c r="BB167" t="s">
        <v>355</v>
      </c>
      <c r="BY167" t="s">
        <v>402</v>
      </c>
      <c r="BZ167" t="s">
        <v>402</v>
      </c>
      <c r="CA167" t="s">
        <v>376</v>
      </c>
      <c r="CB167" t="s">
        <v>376</v>
      </c>
      <c r="CG167" t="s">
        <v>1460</v>
      </c>
      <c r="CH167" t="s">
        <v>374</v>
      </c>
      <c r="CI167" t="s">
        <v>353</v>
      </c>
      <c r="CP167" t="s">
        <v>372</v>
      </c>
      <c r="EP167" t="s">
        <v>401</v>
      </c>
      <c r="EQ167" t="s">
        <v>401</v>
      </c>
      <c r="FM167" t="s">
        <v>374</v>
      </c>
    </row>
    <row r="168" spans="51:169">
      <c r="AY168" t="s">
        <v>383</v>
      </c>
      <c r="AZ168" t="s">
        <v>1101</v>
      </c>
      <c r="BB168" t="s">
        <v>357</v>
      </c>
      <c r="BY168" t="s">
        <v>403</v>
      </c>
      <c r="BZ168" t="s">
        <v>403</v>
      </c>
      <c r="CA168" t="s">
        <v>378</v>
      </c>
      <c r="CB168" t="s">
        <v>378</v>
      </c>
      <c r="CG168" t="s">
        <v>1461</v>
      </c>
      <c r="CH168" t="s">
        <v>375</v>
      </c>
      <c r="CI168" t="s">
        <v>355</v>
      </c>
      <c r="CP168" t="s">
        <v>374</v>
      </c>
      <c r="EP168" t="s">
        <v>402</v>
      </c>
      <c r="EQ168" t="s">
        <v>402</v>
      </c>
      <c r="FM168" t="s">
        <v>375</v>
      </c>
    </row>
    <row r="169" spans="51:169">
      <c r="AY169" t="s">
        <v>384</v>
      </c>
      <c r="AZ169" t="s">
        <v>1102</v>
      </c>
      <c r="BB169" t="s">
        <v>1147</v>
      </c>
      <c r="BY169" t="s">
        <v>404</v>
      </c>
      <c r="BZ169" t="s">
        <v>404</v>
      </c>
      <c r="CA169" t="s">
        <v>379</v>
      </c>
      <c r="CB169" t="s">
        <v>379</v>
      </c>
      <c r="CG169" t="s">
        <v>1462</v>
      </c>
      <c r="CH169" t="s">
        <v>376</v>
      </c>
      <c r="CI169" t="s">
        <v>357</v>
      </c>
      <c r="CP169" t="s">
        <v>375</v>
      </c>
      <c r="EP169" t="s">
        <v>403</v>
      </c>
      <c r="EQ169" t="s">
        <v>403</v>
      </c>
      <c r="FM169" t="s">
        <v>376</v>
      </c>
    </row>
    <row r="170" spans="51:169">
      <c r="AY170" t="s">
        <v>385</v>
      </c>
      <c r="AZ170" t="s">
        <v>1103</v>
      </c>
      <c r="BB170" t="s">
        <v>1148</v>
      </c>
      <c r="BY170" t="s">
        <v>405</v>
      </c>
      <c r="BZ170" t="s">
        <v>405</v>
      </c>
      <c r="CA170" t="s">
        <v>380</v>
      </c>
      <c r="CB170" t="s">
        <v>380</v>
      </c>
      <c r="CG170" t="s">
        <v>1463</v>
      </c>
      <c r="CH170" t="s">
        <v>378</v>
      </c>
      <c r="CI170" t="s">
        <v>1147</v>
      </c>
      <c r="CP170" t="s">
        <v>376</v>
      </c>
      <c r="EP170" t="s">
        <v>404</v>
      </c>
      <c r="EQ170" t="s">
        <v>404</v>
      </c>
      <c r="FM170" t="s">
        <v>378</v>
      </c>
    </row>
    <row r="171" spans="51:169">
      <c r="AY171" t="s">
        <v>386</v>
      </c>
      <c r="AZ171" t="s">
        <v>1104</v>
      </c>
      <c r="BB171" t="s">
        <v>1149</v>
      </c>
      <c r="BY171" t="s">
        <v>406</v>
      </c>
      <c r="BZ171" t="s">
        <v>406</v>
      </c>
      <c r="CA171" t="s">
        <v>926</v>
      </c>
      <c r="CB171" t="s">
        <v>926</v>
      </c>
      <c r="CG171" t="s">
        <v>1464</v>
      </c>
      <c r="CH171" t="s">
        <v>379</v>
      </c>
      <c r="CI171" t="s">
        <v>1148</v>
      </c>
      <c r="CP171" t="s">
        <v>378</v>
      </c>
      <c r="EP171" t="s">
        <v>405</v>
      </c>
      <c r="EQ171" t="s">
        <v>405</v>
      </c>
      <c r="FM171" t="s">
        <v>379</v>
      </c>
    </row>
    <row r="172" spans="51:169">
      <c r="AY172" t="s">
        <v>388</v>
      </c>
      <c r="AZ172" t="s">
        <v>1105</v>
      </c>
      <c r="BB172" t="s">
        <v>1150</v>
      </c>
      <c r="BY172" t="s">
        <v>407</v>
      </c>
      <c r="BZ172" t="s">
        <v>407</v>
      </c>
      <c r="CA172" t="s">
        <v>382</v>
      </c>
      <c r="CB172" t="s">
        <v>382</v>
      </c>
      <c r="CG172" t="s">
        <v>1465</v>
      </c>
      <c r="CH172" t="s">
        <v>380</v>
      </c>
      <c r="CI172" t="s">
        <v>1149</v>
      </c>
      <c r="CP172" t="s">
        <v>379</v>
      </c>
      <c r="EP172" t="s">
        <v>406</v>
      </c>
      <c r="EQ172" t="s">
        <v>406</v>
      </c>
      <c r="FM172" t="s">
        <v>380</v>
      </c>
    </row>
    <row r="173" spans="51:169">
      <c r="AY173" t="s">
        <v>389</v>
      </c>
      <c r="AZ173" t="s">
        <v>1106</v>
      </c>
      <c r="BB173" t="s">
        <v>1151</v>
      </c>
      <c r="BY173" t="s">
        <v>408</v>
      </c>
      <c r="BZ173" t="s">
        <v>408</v>
      </c>
      <c r="CA173" t="s">
        <v>383</v>
      </c>
      <c r="CB173" t="s">
        <v>383</v>
      </c>
      <c r="CG173" t="s">
        <v>1466</v>
      </c>
      <c r="CH173" t="s">
        <v>926</v>
      </c>
      <c r="CI173" t="s">
        <v>1150</v>
      </c>
      <c r="CP173" t="s">
        <v>380</v>
      </c>
      <c r="EP173" t="s">
        <v>407</v>
      </c>
      <c r="EQ173" t="s">
        <v>407</v>
      </c>
      <c r="FM173" t="s">
        <v>926</v>
      </c>
    </row>
    <row r="174" spans="51:169">
      <c r="AY174" t="s">
        <v>390</v>
      </c>
      <c r="AZ174" t="s">
        <v>1107</v>
      </c>
      <c r="BB174" t="s">
        <v>1152</v>
      </c>
      <c r="BY174" t="s">
        <v>409</v>
      </c>
      <c r="BZ174" t="s">
        <v>409</v>
      </c>
      <c r="CA174" t="s">
        <v>384</v>
      </c>
      <c r="CB174" t="s">
        <v>384</v>
      </c>
      <c r="CG174" t="s">
        <v>1467</v>
      </c>
      <c r="CH174" t="s">
        <v>382</v>
      </c>
      <c r="CI174" t="s">
        <v>1151</v>
      </c>
      <c r="CP174" t="s">
        <v>926</v>
      </c>
      <c r="EP174" t="s">
        <v>408</v>
      </c>
      <c r="EQ174" t="s">
        <v>408</v>
      </c>
      <c r="FM174" t="s">
        <v>382</v>
      </c>
    </row>
    <row r="175" spans="51:169">
      <c r="AY175" t="s">
        <v>391</v>
      </c>
      <c r="AZ175" t="s">
        <v>1108</v>
      </c>
      <c r="BB175" t="s">
        <v>359</v>
      </c>
      <c r="BY175" t="s">
        <v>410</v>
      </c>
      <c r="BZ175" t="s">
        <v>410</v>
      </c>
      <c r="CA175" t="s">
        <v>385</v>
      </c>
      <c r="CB175" t="s">
        <v>385</v>
      </c>
      <c r="CG175" t="s">
        <v>1468</v>
      </c>
      <c r="CH175" t="s">
        <v>383</v>
      </c>
      <c r="CI175" t="s">
        <v>1152</v>
      </c>
      <c r="CP175" t="s">
        <v>382</v>
      </c>
      <c r="EP175" t="s">
        <v>409</v>
      </c>
      <c r="EQ175" t="s">
        <v>409</v>
      </c>
      <c r="FM175" t="s">
        <v>383</v>
      </c>
    </row>
    <row r="176" spans="51:169">
      <c r="AY176" t="s">
        <v>392</v>
      </c>
      <c r="AZ176" t="s">
        <v>1109</v>
      </c>
      <c r="BB176" t="s">
        <v>361</v>
      </c>
      <c r="BY176" t="s">
        <v>411</v>
      </c>
      <c r="BZ176" t="s">
        <v>411</v>
      </c>
      <c r="CA176" t="s">
        <v>386</v>
      </c>
      <c r="CB176" t="s">
        <v>386</v>
      </c>
      <c r="CG176" t="s">
        <v>1469</v>
      </c>
      <c r="CH176" t="s">
        <v>384</v>
      </c>
      <c r="CI176" t="s">
        <v>359</v>
      </c>
      <c r="CP176" t="s">
        <v>383</v>
      </c>
      <c r="EP176" t="s">
        <v>410</v>
      </c>
      <c r="EQ176" t="s">
        <v>410</v>
      </c>
      <c r="FM176" t="s">
        <v>384</v>
      </c>
    </row>
    <row r="177" spans="51:169">
      <c r="AY177" t="s">
        <v>393</v>
      </c>
      <c r="AZ177" t="s">
        <v>1110</v>
      </c>
      <c r="BB177" t="s">
        <v>1153</v>
      </c>
      <c r="BY177" t="s">
        <v>412</v>
      </c>
      <c r="BZ177" t="s">
        <v>412</v>
      </c>
      <c r="CA177" t="s">
        <v>387</v>
      </c>
      <c r="CB177" t="s">
        <v>387</v>
      </c>
      <c r="CG177" t="s">
        <v>1470</v>
      </c>
      <c r="CH177" t="s">
        <v>385</v>
      </c>
      <c r="CI177" t="s">
        <v>361</v>
      </c>
      <c r="CP177" t="s">
        <v>384</v>
      </c>
      <c r="EP177" t="s">
        <v>411</v>
      </c>
      <c r="EQ177" t="s">
        <v>411</v>
      </c>
      <c r="FM177" t="s">
        <v>385</v>
      </c>
    </row>
    <row r="178" spans="51:169">
      <c r="AY178" t="s">
        <v>394</v>
      </c>
      <c r="AZ178" t="s">
        <v>1111</v>
      </c>
      <c r="BB178" t="s">
        <v>363</v>
      </c>
      <c r="BY178" t="s">
        <v>415</v>
      </c>
      <c r="BZ178" t="s">
        <v>415</v>
      </c>
      <c r="CA178" t="s">
        <v>388</v>
      </c>
      <c r="CB178" t="s">
        <v>388</v>
      </c>
      <c r="CG178" t="s">
        <v>1471</v>
      </c>
      <c r="CH178" t="s">
        <v>386</v>
      </c>
      <c r="CI178" t="s">
        <v>1153</v>
      </c>
      <c r="CP178" t="s">
        <v>385</v>
      </c>
      <c r="EP178" t="s">
        <v>412</v>
      </c>
      <c r="EQ178" t="s">
        <v>412</v>
      </c>
      <c r="FM178" t="s">
        <v>386</v>
      </c>
    </row>
    <row r="179" spans="51:169">
      <c r="AY179" t="s">
        <v>395</v>
      </c>
      <c r="AZ179" t="s">
        <v>1112</v>
      </c>
      <c r="BB179" t="s">
        <v>1154</v>
      </c>
      <c r="BY179" t="s">
        <v>416</v>
      </c>
      <c r="BZ179" t="s">
        <v>416</v>
      </c>
      <c r="CA179" t="s">
        <v>389</v>
      </c>
      <c r="CB179" t="s">
        <v>389</v>
      </c>
      <c r="CG179" t="s">
        <v>1472</v>
      </c>
      <c r="CH179" t="s">
        <v>387</v>
      </c>
      <c r="CI179" t="s">
        <v>363</v>
      </c>
      <c r="CP179" t="s">
        <v>386</v>
      </c>
      <c r="EP179" t="s">
        <v>415</v>
      </c>
      <c r="EQ179" t="s">
        <v>415</v>
      </c>
      <c r="FM179" t="s">
        <v>387</v>
      </c>
    </row>
    <row r="180" spans="51:169">
      <c r="AY180" t="s">
        <v>396</v>
      </c>
      <c r="AZ180" t="s">
        <v>1113</v>
      </c>
      <c r="BB180" t="s">
        <v>365</v>
      </c>
      <c r="BY180" t="s">
        <v>417</v>
      </c>
      <c r="BZ180" t="s">
        <v>417</v>
      </c>
      <c r="CA180" t="s">
        <v>390</v>
      </c>
      <c r="CB180" t="s">
        <v>390</v>
      </c>
      <c r="CG180" t="s">
        <v>1473</v>
      </c>
      <c r="CH180" t="s">
        <v>388</v>
      </c>
      <c r="CI180" t="s">
        <v>1154</v>
      </c>
      <c r="CP180" t="s">
        <v>387</v>
      </c>
      <c r="EP180" t="s">
        <v>416</v>
      </c>
      <c r="EQ180" t="s">
        <v>416</v>
      </c>
      <c r="FM180" t="s">
        <v>388</v>
      </c>
    </row>
    <row r="181" spans="51:169">
      <c r="AY181" t="s">
        <v>398</v>
      </c>
      <c r="AZ181" t="s">
        <v>1114</v>
      </c>
      <c r="BB181" t="s">
        <v>1155</v>
      </c>
      <c r="BY181" t="s">
        <v>418</v>
      </c>
      <c r="BZ181" t="s">
        <v>418</v>
      </c>
      <c r="CA181" t="s">
        <v>391</v>
      </c>
      <c r="CB181" t="s">
        <v>391</v>
      </c>
      <c r="CG181" t="s">
        <v>1474</v>
      </c>
      <c r="CH181" t="s">
        <v>389</v>
      </c>
      <c r="CI181" t="s">
        <v>365</v>
      </c>
      <c r="CP181" t="s">
        <v>388</v>
      </c>
      <c r="EP181" t="s">
        <v>417</v>
      </c>
      <c r="EQ181" t="s">
        <v>417</v>
      </c>
      <c r="FM181" t="s">
        <v>389</v>
      </c>
    </row>
    <row r="182" spans="51:169">
      <c r="AY182" t="s">
        <v>399</v>
      </c>
      <c r="AZ182" t="s">
        <v>1115</v>
      </c>
      <c r="BB182" t="s">
        <v>1156</v>
      </c>
      <c r="BY182" t="s">
        <v>421</v>
      </c>
      <c r="BZ182" t="s">
        <v>421</v>
      </c>
      <c r="CA182" t="s">
        <v>392</v>
      </c>
      <c r="CB182" t="s">
        <v>392</v>
      </c>
      <c r="CG182" t="s">
        <v>1475</v>
      </c>
      <c r="CH182" t="s">
        <v>390</v>
      </c>
      <c r="CI182" t="s">
        <v>1155</v>
      </c>
      <c r="CP182" t="s">
        <v>389</v>
      </c>
      <c r="EP182" t="s">
        <v>418</v>
      </c>
      <c r="EQ182" t="s">
        <v>418</v>
      </c>
      <c r="FM182" t="s">
        <v>390</v>
      </c>
    </row>
    <row r="183" spans="51:169">
      <c r="AY183" t="s">
        <v>400</v>
      </c>
      <c r="AZ183" t="s">
        <v>1116</v>
      </c>
      <c r="BB183" t="s">
        <v>1157</v>
      </c>
      <c r="BY183" t="s">
        <v>422</v>
      </c>
      <c r="BZ183" t="s">
        <v>422</v>
      </c>
      <c r="CA183" t="s">
        <v>393</v>
      </c>
      <c r="CB183" t="s">
        <v>393</v>
      </c>
      <c r="CG183" t="s">
        <v>1476</v>
      </c>
      <c r="CH183" t="s">
        <v>391</v>
      </c>
      <c r="CI183" t="s">
        <v>1156</v>
      </c>
      <c r="CP183" t="s">
        <v>390</v>
      </c>
      <c r="EP183" t="s">
        <v>419</v>
      </c>
      <c r="EQ183" t="s">
        <v>419</v>
      </c>
      <c r="FM183" t="s">
        <v>391</v>
      </c>
    </row>
    <row r="184" spans="51:169">
      <c r="AY184" t="s">
        <v>401</v>
      </c>
      <c r="AZ184" t="s">
        <v>1117</v>
      </c>
      <c r="BB184" t="s">
        <v>1158</v>
      </c>
      <c r="BY184" t="s">
        <v>423</v>
      </c>
      <c r="BZ184" t="s">
        <v>423</v>
      </c>
      <c r="CA184" t="s">
        <v>394</v>
      </c>
      <c r="CB184" t="s">
        <v>394</v>
      </c>
      <c r="CG184" t="s">
        <v>1477</v>
      </c>
      <c r="CH184" t="s">
        <v>392</v>
      </c>
      <c r="CI184" t="s">
        <v>1157</v>
      </c>
      <c r="CP184" t="s">
        <v>391</v>
      </c>
      <c r="EP184" t="s">
        <v>421</v>
      </c>
      <c r="EQ184" t="s">
        <v>421</v>
      </c>
      <c r="FM184" t="s">
        <v>392</v>
      </c>
    </row>
    <row r="185" spans="51:169">
      <c r="AY185" t="s">
        <v>402</v>
      </c>
      <c r="AZ185" t="s">
        <v>1118</v>
      </c>
      <c r="BB185" t="s">
        <v>367</v>
      </c>
      <c r="BY185" t="s">
        <v>424</v>
      </c>
      <c r="BZ185" t="s">
        <v>424</v>
      </c>
      <c r="CA185" t="s">
        <v>395</v>
      </c>
      <c r="CB185" t="s">
        <v>395</v>
      </c>
      <c r="CG185" t="s">
        <v>1478</v>
      </c>
      <c r="CH185" t="s">
        <v>393</v>
      </c>
      <c r="CI185" t="s">
        <v>1158</v>
      </c>
      <c r="CP185" t="s">
        <v>392</v>
      </c>
      <c r="EP185" t="s">
        <v>422</v>
      </c>
      <c r="EQ185" t="s">
        <v>422</v>
      </c>
      <c r="FM185" t="s">
        <v>393</v>
      </c>
    </row>
    <row r="186" spans="51:169">
      <c r="AY186" t="s">
        <v>403</v>
      </c>
      <c r="BB186" t="s">
        <v>369</v>
      </c>
      <c r="BY186" t="s">
        <v>927</v>
      </c>
      <c r="BZ186" t="s">
        <v>927</v>
      </c>
      <c r="CA186" t="s">
        <v>396</v>
      </c>
      <c r="CB186" t="s">
        <v>396</v>
      </c>
      <c r="CG186" t="s">
        <v>1479</v>
      </c>
      <c r="CH186" t="s">
        <v>394</v>
      </c>
      <c r="CI186" t="s">
        <v>367</v>
      </c>
      <c r="CP186" t="s">
        <v>393</v>
      </c>
      <c r="EP186" t="s">
        <v>423</v>
      </c>
      <c r="EQ186" t="s">
        <v>423</v>
      </c>
      <c r="FM186" t="s">
        <v>394</v>
      </c>
    </row>
    <row r="187" spans="51:169">
      <c r="AY187" t="s">
        <v>404</v>
      </c>
      <c r="BB187" t="s">
        <v>1159</v>
      </c>
      <c r="BY187" t="s">
        <v>428</v>
      </c>
      <c r="BZ187" t="s">
        <v>428</v>
      </c>
      <c r="CA187" t="s">
        <v>397</v>
      </c>
      <c r="CB187" t="s">
        <v>397</v>
      </c>
      <c r="CG187" t="s">
        <v>1480</v>
      </c>
      <c r="CH187" t="s">
        <v>395</v>
      </c>
      <c r="CI187" t="s">
        <v>369</v>
      </c>
      <c r="CP187" t="s">
        <v>394</v>
      </c>
      <c r="EP187" t="s">
        <v>424</v>
      </c>
      <c r="EQ187" t="s">
        <v>424</v>
      </c>
      <c r="FM187" t="s">
        <v>395</v>
      </c>
    </row>
    <row r="188" spans="51:169">
      <c r="AY188" t="s">
        <v>405</v>
      </c>
      <c r="BB188" t="s">
        <v>371</v>
      </c>
      <c r="BY188" t="s">
        <v>429</v>
      </c>
      <c r="BZ188" t="s">
        <v>429</v>
      </c>
      <c r="CA188" t="s">
        <v>398</v>
      </c>
      <c r="CB188" t="s">
        <v>398</v>
      </c>
      <c r="CG188" t="s">
        <v>1481</v>
      </c>
      <c r="CH188" t="s">
        <v>396</v>
      </c>
      <c r="CI188" t="s">
        <v>1159</v>
      </c>
      <c r="CP188" t="s">
        <v>395</v>
      </c>
      <c r="EP188" t="s">
        <v>927</v>
      </c>
      <c r="EQ188" t="s">
        <v>927</v>
      </c>
      <c r="FM188" t="s">
        <v>396</v>
      </c>
    </row>
    <row r="189" spans="51:169">
      <c r="AY189" t="s">
        <v>406</v>
      </c>
      <c r="BB189" t="s">
        <v>1160</v>
      </c>
      <c r="BY189" t="s">
        <v>430</v>
      </c>
      <c r="BZ189" t="s">
        <v>430</v>
      </c>
      <c r="CA189" t="s">
        <v>399</v>
      </c>
      <c r="CB189" t="s">
        <v>399</v>
      </c>
      <c r="CG189" t="s">
        <v>1482</v>
      </c>
      <c r="CH189" t="s">
        <v>397</v>
      </c>
      <c r="CI189" t="s">
        <v>371</v>
      </c>
      <c r="CP189" t="s">
        <v>396</v>
      </c>
      <c r="EP189" t="s">
        <v>429</v>
      </c>
      <c r="EQ189" t="s">
        <v>429</v>
      </c>
      <c r="FM189" t="s">
        <v>397</v>
      </c>
    </row>
    <row r="190" spans="51:169">
      <c r="AY190" t="s">
        <v>407</v>
      </c>
      <c r="BB190" t="s">
        <v>1161</v>
      </c>
      <c r="BY190" t="s">
        <v>431</v>
      </c>
      <c r="BZ190" t="s">
        <v>431</v>
      </c>
      <c r="CA190" t="s">
        <v>400</v>
      </c>
      <c r="CB190" t="s">
        <v>400</v>
      </c>
      <c r="CG190" t="s">
        <v>1483</v>
      </c>
      <c r="CH190" t="s">
        <v>398</v>
      </c>
      <c r="CI190" t="s">
        <v>1160</v>
      </c>
      <c r="CP190" t="s">
        <v>397</v>
      </c>
      <c r="EP190" t="s">
        <v>430</v>
      </c>
      <c r="EQ190" t="s">
        <v>430</v>
      </c>
      <c r="FM190" t="s">
        <v>398</v>
      </c>
    </row>
    <row r="191" spans="51:169">
      <c r="AY191" t="s">
        <v>408</v>
      </c>
      <c r="BB191" t="s">
        <v>1162</v>
      </c>
      <c r="BY191" t="s">
        <v>432</v>
      </c>
      <c r="BZ191" t="s">
        <v>432</v>
      </c>
      <c r="CA191" t="s">
        <v>401</v>
      </c>
      <c r="CB191" t="s">
        <v>401</v>
      </c>
      <c r="CG191" t="s">
        <v>1484</v>
      </c>
      <c r="CH191" t="s">
        <v>399</v>
      </c>
      <c r="CI191" t="s">
        <v>1161</v>
      </c>
      <c r="CP191" t="s">
        <v>398</v>
      </c>
      <c r="EP191" t="s">
        <v>431</v>
      </c>
      <c r="EQ191" t="s">
        <v>431</v>
      </c>
      <c r="FM191" t="s">
        <v>399</v>
      </c>
    </row>
    <row r="192" spans="51:169">
      <c r="AY192" t="s">
        <v>409</v>
      </c>
      <c r="BB192" t="s">
        <v>1163</v>
      </c>
      <c r="BY192" t="s">
        <v>433</v>
      </c>
      <c r="BZ192" t="s">
        <v>433</v>
      </c>
      <c r="CA192" t="s">
        <v>402</v>
      </c>
      <c r="CB192" t="s">
        <v>402</v>
      </c>
      <c r="CG192" t="s">
        <v>1485</v>
      </c>
      <c r="CH192" t="s">
        <v>400</v>
      </c>
      <c r="CI192" t="s">
        <v>1162</v>
      </c>
      <c r="CP192" t="s">
        <v>399</v>
      </c>
      <c r="EP192" t="s">
        <v>432</v>
      </c>
      <c r="EQ192" t="s">
        <v>432</v>
      </c>
      <c r="FM192" t="s">
        <v>400</v>
      </c>
    </row>
    <row r="193" spans="51:169">
      <c r="AY193" t="s">
        <v>410</v>
      </c>
      <c r="BY193" t="s">
        <v>434</v>
      </c>
      <c r="BZ193" t="s">
        <v>434</v>
      </c>
      <c r="CA193" t="s">
        <v>403</v>
      </c>
      <c r="CB193" t="s">
        <v>403</v>
      </c>
      <c r="CG193" t="s">
        <v>1486</v>
      </c>
      <c r="CH193" t="s">
        <v>401</v>
      </c>
      <c r="CI193" t="s">
        <v>1163</v>
      </c>
      <c r="CP193" t="s">
        <v>400</v>
      </c>
      <c r="EP193" t="s">
        <v>433</v>
      </c>
      <c r="EQ193" t="s">
        <v>433</v>
      </c>
      <c r="FM193" t="s">
        <v>401</v>
      </c>
    </row>
    <row r="194" spans="51:169">
      <c r="AY194" t="s">
        <v>411</v>
      </c>
      <c r="BY194" t="s">
        <v>435</v>
      </c>
      <c r="BZ194" t="s">
        <v>435</v>
      </c>
      <c r="CA194" t="s">
        <v>404</v>
      </c>
      <c r="CB194" t="s">
        <v>404</v>
      </c>
      <c r="CG194" t="s">
        <v>1487</v>
      </c>
      <c r="CH194" t="s">
        <v>402</v>
      </c>
      <c r="CP194" t="s">
        <v>401</v>
      </c>
      <c r="EP194" t="s">
        <v>434</v>
      </c>
      <c r="EQ194" t="s">
        <v>434</v>
      </c>
      <c r="FM194" t="s">
        <v>402</v>
      </c>
    </row>
    <row r="195" spans="51:169">
      <c r="AY195" t="s">
        <v>412</v>
      </c>
      <c r="BY195" t="s">
        <v>436</v>
      </c>
      <c r="BZ195" t="s">
        <v>436</v>
      </c>
      <c r="CA195" t="s">
        <v>405</v>
      </c>
      <c r="CB195" t="s">
        <v>405</v>
      </c>
      <c r="CG195" t="s">
        <v>1488</v>
      </c>
      <c r="CH195" t="s">
        <v>403</v>
      </c>
      <c r="CP195" t="s">
        <v>402</v>
      </c>
      <c r="EP195" t="s">
        <v>435</v>
      </c>
      <c r="EQ195" t="s">
        <v>435</v>
      </c>
      <c r="FM195" t="s">
        <v>403</v>
      </c>
    </row>
    <row r="196" spans="51:169">
      <c r="AY196" t="s">
        <v>413</v>
      </c>
      <c r="BY196" t="s">
        <v>437</v>
      </c>
      <c r="BZ196" t="s">
        <v>437</v>
      </c>
      <c r="CA196" t="s">
        <v>406</v>
      </c>
      <c r="CB196" t="s">
        <v>406</v>
      </c>
      <c r="CG196" t="s">
        <v>1489</v>
      </c>
      <c r="CH196" t="s">
        <v>404</v>
      </c>
      <c r="CP196" t="s">
        <v>403</v>
      </c>
      <c r="EP196" t="s">
        <v>436</v>
      </c>
      <c r="EQ196" t="s">
        <v>436</v>
      </c>
      <c r="FM196" t="s">
        <v>404</v>
      </c>
    </row>
    <row r="197" spans="51:169">
      <c r="AY197" t="s">
        <v>414</v>
      </c>
      <c r="BY197" t="s">
        <v>438</v>
      </c>
      <c r="BZ197" t="s">
        <v>438</v>
      </c>
      <c r="CA197" t="s">
        <v>407</v>
      </c>
      <c r="CB197" t="s">
        <v>407</v>
      </c>
      <c r="CG197" t="s">
        <v>1490</v>
      </c>
      <c r="CH197" t="s">
        <v>405</v>
      </c>
      <c r="CP197" t="s">
        <v>404</v>
      </c>
      <c r="EP197" t="s">
        <v>437</v>
      </c>
      <c r="EQ197" t="s">
        <v>437</v>
      </c>
      <c r="FM197" t="s">
        <v>405</v>
      </c>
    </row>
    <row r="198" spans="51:169">
      <c r="AY198" t="s">
        <v>415</v>
      </c>
      <c r="BY198" t="s">
        <v>439</v>
      </c>
      <c r="BZ198" t="s">
        <v>439</v>
      </c>
      <c r="CA198" t="s">
        <v>408</v>
      </c>
      <c r="CB198" t="s">
        <v>408</v>
      </c>
      <c r="CG198" t="s">
        <v>1491</v>
      </c>
      <c r="CH198" t="s">
        <v>406</v>
      </c>
      <c r="CP198" t="s">
        <v>405</v>
      </c>
      <c r="EP198" t="s">
        <v>438</v>
      </c>
      <c r="EQ198" t="s">
        <v>438</v>
      </c>
      <c r="FM198" t="s">
        <v>406</v>
      </c>
    </row>
    <row r="199" spans="51:169">
      <c r="AY199" t="s">
        <v>416</v>
      </c>
      <c r="BY199" t="s">
        <v>440</v>
      </c>
      <c r="BZ199" t="s">
        <v>440</v>
      </c>
      <c r="CA199" t="s">
        <v>409</v>
      </c>
      <c r="CB199" t="s">
        <v>409</v>
      </c>
      <c r="CG199" t="s">
        <v>1492</v>
      </c>
      <c r="CH199" t="s">
        <v>407</v>
      </c>
      <c r="CP199" t="s">
        <v>406</v>
      </c>
      <c r="EP199" t="s">
        <v>439</v>
      </c>
      <c r="EQ199" t="s">
        <v>439</v>
      </c>
      <c r="FM199" t="s">
        <v>407</v>
      </c>
    </row>
    <row r="200" spans="51:169">
      <c r="AY200" t="s">
        <v>417</v>
      </c>
      <c r="BY200" t="s">
        <v>441</v>
      </c>
      <c r="BZ200" t="s">
        <v>441</v>
      </c>
      <c r="CA200" t="s">
        <v>410</v>
      </c>
      <c r="CB200" t="s">
        <v>410</v>
      </c>
      <c r="CG200" t="s">
        <v>1493</v>
      </c>
      <c r="CH200" t="s">
        <v>408</v>
      </c>
      <c r="CP200" t="s">
        <v>407</v>
      </c>
      <c r="EP200" t="s">
        <v>440</v>
      </c>
      <c r="EQ200" t="s">
        <v>440</v>
      </c>
      <c r="FM200" t="s">
        <v>408</v>
      </c>
    </row>
    <row r="201" spans="51:169">
      <c r="AY201" t="s">
        <v>420</v>
      </c>
      <c r="BY201" t="s">
        <v>442</v>
      </c>
      <c r="BZ201" t="s">
        <v>442</v>
      </c>
      <c r="CA201" t="s">
        <v>411</v>
      </c>
      <c r="CB201" t="s">
        <v>411</v>
      </c>
      <c r="CG201" t="s">
        <v>1494</v>
      </c>
      <c r="CH201" t="s">
        <v>409</v>
      </c>
      <c r="CP201" t="s">
        <v>408</v>
      </c>
      <c r="EP201" t="s">
        <v>441</v>
      </c>
      <c r="EQ201" t="s">
        <v>441</v>
      </c>
      <c r="FM201" t="s">
        <v>409</v>
      </c>
    </row>
    <row r="202" spans="51:169">
      <c r="AY202" t="s">
        <v>421</v>
      </c>
      <c r="BY202" t="s">
        <v>443</v>
      </c>
      <c r="BZ202" t="s">
        <v>443</v>
      </c>
      <c r="CA202" t="s">
        <v>412</v>
      </c>
      <c r="CB202" t="s">
        <v>412</v>
      </c>
      <c r="CG202" t="s">
        <v>1495</v>
      </c>
      <c r="CH202" t="s">
        <v>410</v>
      </c>
      <c r="CP202" t="s">
        <v>409</v>
      </c>
      <c r="EP202" t="s">
        <v>442</v>
      </c>
      <c r="EQ202" t="s">
        <v>442</v>
      </c>
      <c r="FM202" t="s">
        <v>410</v>
      </c>
    </row>
    <row r="203" spans="51:169">
      <c r="AY203" t="s">
        <v>422</v>
      </c>
      <c r="BY203" t="s">
        <v>444</v>
      </c>
      <c r="BZ203" t="s">
        <v>444</v>
      </c>
      <c r="CA203" t="s">
        <v>413</v>
      </c>
      <c r="CB203" t="s">
        <v>413</v>
      </c>
      <c r="CG203" t="s">
        <v>1496</v>
      </c>
      <c r="CH203" t="s">
        <v>411</v>
      </c>
      <c r="CP203" t="s">
        <v>410</v>
      </c>
      <c r="EP203" t="s">
        <v>443</v>
      </c>
      <c r="EQ203" t="s">
        <v>443</v>
      </c>
      <c r="FM203" t="s">
        <v>411</v>
      </c>
    </row>
    <row r="204" spans="51:169">
      <c r="AY204" t="s">
        <v>423</v>
      </c>
      <c r="BY204" t="s">
        <v>445</v>
      </c>
      <c r="BZ204" t="s">
        <v>445</v>
      </c>
      <c r="CA204" t="s">
        <v>414</v>
      </c>
      <c r="CB204" t="s">
        <v>414</v>
      </c>
      <c r="CG204" t="s">
        <v>1497</v>
      </c>
      <c r="CH204" t="s">
        <v>412</v>
      </c>
      <c r="CP204" t="s">
        <v>411</v>
      </c>
      <c r="EP204" t="s">
        <v>444</v>
      </c>
      <c r="EQ204" t="s">
        <v>444</v>
      </c>
      <c r="FM204" t="s">
        <v>412</v>
      </c>
    </row>
    <row r="205" spans="51:169">
      <c r="AY205" t="s">
        <v>424</v>
      </c>
      <c r="BY205" t="s">
        <v>446</v>
      </c>
      <c r="BZ205" t="s">
        <v>446</v>
      </c>
      <c r="CA205" t="s">
        <v>415</v>
      </c>
      <c r="CB205" t="s">
        <v>415</v>
      </c>
      <c r="CG205" t="s">
        <v>1498</v>
      </c>
      <c r="CH205" t="s">
        <v>413</v>
      </c>
      <c r="CP205" t="s">
        <v>412</v>
      </c>
      <c r="EP205" t="s">
        <v>445</v>
      </c>
      <c r="EQ205" t="s">
        <v>445</v>
      </c>
      <c r="FM205" t="s">
        <v>413</v>
      </c>
    </row>
    <row r="206" spans="51:169">
      <c r="AY206" t="s">
        <v>927</v>
      </c>
      <c r="BY206" t="s">
        <v>448</v>
      </c>
      <c r="BZ206" t="s">
        <v>448</v>
      </c>
      <c r="CA206" t="s">
        <v>416</v>
      </c>
      <c r="CB206" t="s">
        <v>416</v>
      </c>
      <c r="CG206" t="s">
        <v>1499</v>
      </c>
      <c r="CH206" t="s">
        <v>414</v>
      </c>
      <c r="CP206" t="s">
        <v>413</v>
      </c>
      <c r="EP206" t="s">
        <v>446</v>
      </c>
      <c r="EQ206" t="s">
        <v>446</v>
      </c>
      <c r="FM206" t="s">
        <v>414</v>
      </c>
    </row>
    <row r="207" spans="51:169">
      <c r="AY207" t="s">
        <v>426</v>
      </c>
      <c r="BY207" t="s">
        <v>449</v>
      </c>
      <c r="BZ207" t="s">
        <v>449</v>
      </c>
      <c r="CA207" t="s">
        <v>417</v>
      </c>
      <c r="CB207" t="s">
        <v>417</v>
      </c>
      <c r="CG207" t="s">
        <v>1500</v>
      </c>
      <c r="CH207" t="s">
        <v>415</v>
      </c>
      <c r="CP207" t="s">
        <v>414</v>
      </c>
      <c r="EP207" t="s">
        <v>448</v>
      </c>
      <c r="EQ207" t="s">
        <v>448</v>
      </c>
      <c r="FM207" t="s">
        <v>415</v>
      </c>
    </row>
    <row r="208" spans="51:169">
      <c r="AY208" t="s">
        <v>428</v>
      </c>
      <c r="BY208" t="s">
        <v>450</v>
      </c>
      <c r="BZ208" t="s">
        <v>450</v>
      </c>
      <c r="CA208" t="s">
        <v>418</v>
      </c>
      <c r="CB208" t="s">
        <v>418</v>
      </c>
      <c r="CG208" t="s">
        <v>1501</v>
      </c>
      <c r="CH208" t="s">
        <v>416</v>
      </c>
      <c r="CP208" t="s">
        <v>415</v>
      </c>
      <c r="EP208" t="s">
        <v>449</v>
      </c>
      <c r="EQ208" t="s">
        <v>449</v>
      </c>
      <c r="FM208" t="s">
        <v>416</v>
      </c>
    </row>
    <row r="209" spans="51:169">
      <c r="AY209" t="s">
        <v>429</v>
      </c>
      <c r="BY209" t="s">
        <v>451</v>
      </c>
      <c r="BZ209" t="s">
        <v>451</v>
      </c>
      <c r="CA209" t="s">
        <v>420</v>
      </c>
      <c r="CB209" t="s">
        <v>420</v>
      </c>
      <c r="CG209" t="s">
        <v>1502</v>
      </c>
      <c r="CH209" t="s">
        <v>417</v>
      </c>
      <c r="CP209" t="s">
        <v>416</v>
      </c>
      <c r="EP209" t="s">
        <v>450</v>
      </c>
      <c r="EQ209" t="s">
        <v>450</v>
      </c>
      <c r="FM209" t="s">
        <v>417</v>
      </c>
    </row>
    <row r="210" spans="51:169">
      <c r="AY210" t="s">
        <v>430</v>
      </c>
      <c r="BY210" t="s">
        <v>452</v>
      </c>
      <c r="BZ210" t="s">
        <v>452</v>
      </c>
      <c r="CA210" t="s">
        <v>421</v>
      </c>
      <c r="CB210" t="s">
        <v>421</v>
      </c>
      <c r="CG210" t="s">
        <v>1503</v>
      </c>
      <c r="CH210" t="s">
        <v>418</v>
      </c>
      <c r="CP210" t="s">
        <v>417</v>
      </c>
      <c r="EP210" t="s">
        <v>451</v>
      </c>
      <c r="EQ210" t="s">
        <v>451</v>
      </c>
      <c r="FM210" t="s">
        <v>418</v>
      </c>
    </row>
    <row r="211" spans="51:169">
      <c r="AY211" t="s">
        <v>431</v>
      </c>
      <c r="BY211" t="s">
        <v>453</v>
      </c>
      <c r="BZ211" t="s">
        <v>453</v>
      </c>
      <c r="CA211" t="s">
        <v>422</v>
      </c>
      <c r="CB211" t="s">
        <v>422</v>
      </c>
      <c r="CG211" t="s">
        <v>1504</v>
      </c>
      <c r="CH211" t="s">
        <v>419</v>
      </c>
      <c r="CP211" t="s">
        <v>418</v>
      </c>
      <c r="EP211" t="s">
        <v>452</v>
      </c>
      <c r="EQ211" t="s">
        <v>452</v>
      </c>
      <c r="FM211" t="s">
        <v>420</v>
      </c>
    </row>
    <row r="212" spans="51:169">
      <c r="AY212" t="s">
        <v>432</v>
      </c>
      <c r="BY212" t="s">
        <v>454</v>
      </c>
      <c r="BZ212" t="s">
        <v>454</v>
      </c>
      <c r="CA212" t="s">
        <v>423</v>
      </c>
      <c r="CB212" t="s">
        <v>423</v>
      </c>
      <c r="CG212" t="s">
        <v>1505</v>
      </c>
      <c r="CH212" t="s">
        <v>420</v>
      </c>
      <c r="CP212" t="s">
        <v>420</v>
      </c>
      <c r="EP212" t="s">
        <v>453</v>
      </c>
      <c r="EQ212" t="s">
        <v>453</v>
      </c>
      <c r="FM212" t="s">
        <v>421</v>
      </c>
    </row>
    <row r="213" spans="51:169">
      <c r="AY213" t="s">
        <v>433</v>
      </c>
      <c r="BY213" t="s">
        <v>455</v>
      </c>
      <c r="BZ213" t="s">
        <v>455</v>
      </c>
      <c r="CA213" t="s">
        <v>424</v>
      </c>
      <c r="CB213" t="s">
        <v>424</v>
      </c>
      <c r="CG213" t="s">
        <v>1506</v>
      </c>
      <c r="CH213" t="s">
        <v>421</v>
      </c>
      <c r="CP213" t="s">
        <v>421</v>
      </c>
      <c r="EP213" t="s">
        <v>454</v>
      </c>
      <c r="EQ213" t="s">
        <v>454</v>
      </c>
      <c r="FM213" t="s">
        <v>422</v>
      </c>
    </row>
    <row r="214" spans="51:169">
      <c r="AY214" t="s">
        <v>434</v>
      </c>
      <c r="BY214" t="s">
        <v>456</v>
      </c>
      <c r="BZ214" t="s">
        <v>456</v>
      </c>
      <c r="CA214" t="s">
        <v>927</v>
      </c>
      <c r="CB214" t="s">
        <v>927</v>
      </c>
      <c r="CG214" t="s">
        <v>1507</v>
      </c>
      <c r="CH214" t="s">
        <v>422</v>
      </c>
      <c r="CP214" t="s">
        <v>422</v>
      </c>
      <c r="EP214" t="s">
        <v>455</v>
      </c>
      <c r="EQ214" t="s">
        <v>455</v>
      </c>
      <c r="FM214" t="s">
        <v>423</v>
      </c>
    </row>
    <row r="215" spans="51:169">
      <c r="AY215" t="s">
        <v>435</v>
      </c>
      <c r="BY215" t="s">
        <v>457</v>
      </c>
      <c r="BZ215" t="s">
        <v>457</v>
      </c>
      <c r="CA215" t="s">
        <v>426</v>
      </c>
      <c r="CB215" t="s">
        <v>426</v>
      </c>
      <c r="CG215" t="s">
        <v>1508</v>
      </c>
      <c r="CH215" t="s">
        <v>423</v>
      </c>
      <c r="CP215" t="s">
        <v>423</v>
      </c>
      <c r="EP215" t="s">
        <v>456</v>
      </c>
      <c r="EQ215" t="s">
        <v>456</v>
      </c>
      <c r="FM215" t="s">
        <v>424</v>
      </c>
    </row>
    <row r="216" spans="51:169">
      <c r="AY216" t="s">
        <v>436</v>
      </c>
      <c r="BY216" t="s">
        <v>458</v>
      </c>
      <c r="BZ216" t="s">
        <v>458</v>
      </c>
      <c r="CA216" t="s">
        <v>428</v>
      </c>
      <c r="CB216" t="s">
        <v>428</v>
      </c>
      <c r="CG216" t="s">
        <v>1509</v>
      </c>
      <c r="CH216" t="s">
        <v>424</v>
      </c>
      <c r="CP216" t="s">
        <v>424</v>
      </c>
      <c r="EP216" t="s">
        <v>457</v>
      </c>
      <c r="EQ216" t="s">
        <v>457</v>
      </c>
      <c r="FM216" t="s">
        <v>927</v>
      </c>
    </row>
    <row r="217" spans="51:169">
      <c r="AY217" t="s">
        <v>437</v>
      </c>
      <c r="BY217" t="s">
        <v>459</v>
      </c>
      <c r="BZ217" t="s">
        <v>459</v>
      </c>
      <c r="CA217" t="s">
        <v>429</v>
      </c>
      <c r="CB217" t="s">
        <v>429</v>
      </c>
      <c r="CG217" t="s">
        <v>1510</v>
      </c>
      <c r="CH217" t="s">
        <v>927</v>
      </c>
      <c r="CP217" t="s">
        <v>927</v>
      </c>
      <c r="EP217" t="s">
        <v>458</v>
      </c>
      <c r="EQ217" t="s">
        <v>458</v>
      </c>
      <c r="FM217" t="s">
        <v>426</v>
      </c>
    </row>
    <row r="218" spans="51:169">
      <c r="AY218" t="s">
        <v>438</v>
      </c>
      <c r="BY218" t="s">
        <v>460</v>
      </c>
      <c r="BZ218" t="s">
        <v>460</v>
      </c>
      <c r="CA218" t="s">
        <v>430</v>
      </c>
      <c r="CB218" t="s">
        <v>430</v>
      </c>
      <c r="CG218" t="s">
        <v>1511</v>
      </c>
      <c r="CH218" t="s">
        <v>426</v>
      </c>
      <c r="CP218" t="s">
        <v>426</v>
      </c>
      <c r="EP218" t="s">
        <v>459</v>
      </c>
      <c r="EQ218" t="s">
        <v>459</v>
      </c>
      <c r="FM218" t="s">
        <v>428</v>
      </c>
    </row>
    <row r="219" spans="51:169">
      <c r="AY219" t="s">
        <v>439</v>
      </c>
      <c r="BY219" t="s">
        <v>461</v>
      </c>
      <c r="BZ219" t="s">
        <v>461</v>
      </c>
      <c r="CA219" t="s">
        <v>431</v>
      </c>
      <c r="CB219" t="s">
        <v>431</v>
      </c>
      <c r="CG219" t="s">
        <v>1512</v>
      </c>
      <c r="CH219" t="s">
        <v>428</v>
      </c>
      <c r="CP219" t="s">
        <v>428</v>
      </c>
      <c r="EP219" t="s">
        <v>460</v>
      </c>
      <c r="EQ219" t="s">
        <v>460</v>
      </c>
      <c r="FM219" t="s">
        <v>429</v>
      </c>
    </row>
    <row r="220" spans="51:169">
      <c r="AY220" t="s">
        <v>440</v>
      </c>
      <c r="BY220" t="s">
        <v>419</v>
      </c>
      <c r="BZ220" t="s">
        <v>419</v>
      </c>
      <c r="CA220" t="s">
        <v>432</v>
      </c>
      <c r="CB220" t="s">
        <v>432</v>
      </c>
      <c r="CG220" t="s">
        <v>1513</v>
      </c>
      <c r="CH220" t="s">
        <v>429</v>
      </c>
      <c r="CP220" t="s">
        <v>429</v>
      </c>
      <c r="EP220" t="s">
        <v>461</v>
      </c>
      <c r="EQ220" t="s">
        <v>461</v>
      </c>
      <c r="FM220" t="s">
        <v>430</v>
      </c>
    </row>
    <row r="221" spans="51:169">
      <c r="AY221" t="s">
        <v>441</v>
      </c>
      <c r="BY221" t="s">
        <v>447</v>
      </c>
      <c r="BZ221" t="s">
        <v>447</v>
      </c>
      <c r="CA221" t="s">
        <v>433</v>
      </c>
      <c r="CB221" t="s">
        <v>433</v>
      </c>
      <c r="CG221" t="s">
        <v>1514</v>
      </c>
      <c r="CH221" t="s">
        <v>430</v>
      </c>
      <c r="CP221" t="s">
        <v>430</v>
      </c>
      <c r="EP221" t="s">
        <v>931</v>
      </c>
      <c r="EQ221" t="s">
        <v>931</v>
      </c>
      <c r="FM221" t="s">
        <v>431</v>
      </c>
    </row>
    <row r="222" spans="51:169">
      <c r="AY222" t="s">
        <v>443</v>
      </c>
      <c r="BY222" t="s">
        <v>928</v>
      </c>
      <c r="BZ222" t="s">
        <v>928</v>
      </c>
      <c r="CA222" t="s">
        <v>434</v>
      </c>
      <c r="CB222" t="s">
        <v>434</v>
      </c>
      <c r="CG222" t="s">
        <v>1515</v>
      </c>
      <c r="CH222" t="s">
        <v>431</v>
      </c>
      <c r="CP222" t="s">
        <v>431</v>
      </c>
      <c r="EP222" t="s">
        <v>932</v>
      </c>
      <c r="EQ222" t="s">
        <v>932</v>
      </c>
      <c r="FM222" t="s">
        <v>432</v>
      </c>
    </row>
    <row r="223" spans="51:169">
      <c r="AY223" t="s">
        <v>444</v>
      </c>
      <c r="BY223" t="s">
        <v>931</v>
      </c>
      <c r="BZ223" t="s">
        <v>931</v>
      </c>
      <c r="CA223" t="s">
        <v>435</v>
      </c>
      <c r="CB223" t="s">
        <v>435</v>
      </c>
      <c r="CG223" t="s">
        <v>1516</v>
      </c>
      <c r="CH223" t="s">
        <v>432</v>
      </c>
      <c r="CP223" t="s">
        <v>432</v>
      </c>
      <c r="EP223" t="s">
        <v>933</v>
      </c>
      <c r="EQ223" t="s">
        <v>933</v>
      </c>
      <c r="FM223" t="s">
        <v>433</v>
      </c>
    </row>
    <row r="224" spans="51:169">
      <c r="AY224" t="s">
        <v>445</v>
      </c>
      <c r="BY224" t="s">
        <v>932</v>
      </c>
      <c r="BZ224" t="s">
        <v>932</v>
      </c>
      <c r="CA224" t="s">
        <v>436</v>
      </c>
      <c r="CB224" t="s">
        <v>436</v>
      </c>
      <c r="CG224" t="s">
        <v>1517</v>
      </c>
      <c r="CH224" t="s">
        <v>433</v>
      </c>
      <c r="CP224" t="s">
        <v>433</v>
      </c>
      <c r="FM224" t="s">
        <v>434</v>
      </c>
    </row>
    <row r="225" spans="51:169">
      <c r="AY225" t="s">
        <v>446</v>
      </c>
      <c r="BY225" t="s">
        <v>933</v>
      </c>
      <c r="BZ225" t="s">
        <v>933</v>
      </c>
      <c r="CA225" t="s">
        <v>437</v>
      </c>
      <c r="CB225" t="s">
        <v>437</v>
      </c>
      <c r="CG225" t="s">
        <v>1518</v>
      </c>
      <c r="CH225" t="s">
        <v>434</v>
      </c>
      <c r="CP225" t="s">
        <v>434</v>
      </c>
      <c r="FM225" t="s">
        <v>435</v>
      </c>
    </row>
    <row r="226" spans="51:169">
      <c r="AY226" t="s">
        <v>447</v>
      </c>
      <c r="CA226" t="s">
        <v>438</v>
      </c>
      <c r="CB226" t="s">
        <v>438</v>
      </c>
      <c r="CG226" t="s">
        <v>1519</v>
      </c>
      <c r="CH226" t="s">
        <v>435</v>
      </c>
      <c r="CP226" t="s">
        <v>435</v>
      </c>
      <c r="FM226" t="s">
        <v>436</v>
      </c>
    </row>
    <row r="227" spans="51:169">
      <c r="AY227" t="s">
        <v>27</v>
      </c>
      <c r="CA227" t="s">
        <v>439</v>
      </c>
      <c r="CB227" t="s">
        <v>439</v>
      </c>
      <c r="CG227" t="s">
        <v>1520</v>
      </c>
      <c r="CH227" t="s">
        <v>436</v>
      </c>
      <c r="CP227" t="s">
        <v>436</v>
      </c>
      <c r="FM227" t="s">
        <v>437</v>
      </c>
    </row>
    <row r="228" spans="51:169">
      <c r="AY228" t="s">
        <v>83</v>
      </c>
      <c r="CA228" t="s">
        <v>440</v>
      </c>
      <c r="CB228" t="s">
        <v>440</v>
      </c>
      <c r="CG228" t="s">
        <v>1521</v>
      </c>
      <c r="CH228" t="s">
        <v>437</v>
      </c>
      <c r="CP228" t="s">
        <v>437</v>
      </c>
      <c r="FM228" t="s">
        <v>438</v>
      </c>
    </row>
    <row r="229" spans="51:169">
      <c r="AY229" t="s">
        <v>93</v>
      </c>
      <c r="CA229" t="s">
        <v>441</v>
      </c>
      <c r="CB229" t="s">
        <v>441</v>
      </c>
      <c r="CG229" t="s">
        <v>1522</v>
      </c>
      <c r="CH229" t="s">
        <v>438</v>
      </c>
      <c r="CP229" t="s">
        <v>438</v>
      </c>
      <c r="FM229" t="s">
        <v>439</v>
      </c>
    </row>
    <row r="230" spans="51:169">
      <c r="AY230" t="s">
        <v>455</v>
      </c>
      <c r="CA230" t="s">
        <v>442</v>
      </c>
      <c r="CB230" t="s">
        <v>442</v>
      </c>
      <c r="CG230" t="s">
        <v>1523</v>
      </c>
      <c r="CH230" t="s">
        <v>439</v>
      </c>
      <c r="CP230" t="s">
        <v>439</v>
      </c>
      <c r="FM230" t="s">
        <v>440</v>
      </c>
    </row>
    <row r="231" spans="51:169">
      <c r="AY231" t="s">
        <v>117</v>
      </c>
      <c r="CA231" t="s">
        <v>443</v>
      </c>
      <c r="CB231" t="s">
        <v>443</v>
      </c>
      <c r="CG231" t="s">
        <v>1524</v>
      </c>
      <c r="CH231" t="s">
        <v>440</v>
      </c>
      <c r="CP231" t="s">
        <v>440</v>
      </c>
      <c r="FM231" t="s">
        <v>441</v>
      </c>
    </row>
    <row r="232" spans="51:169">
      <c r="AY232" t="s">
        <v>189</v>
      </c>
      <c r="CA232" t="s">
        <v>444</v>
      </c>
      <c r="CB232" t="s">
        <v>444</v>
      </c>
      <c r="CG232" t="s">
        <v>1525</v>
      </c>
      <c r="CH232" t="s">
        <v>441</v>
      </c>
      <c r="CP232" t="s">
        <v>441</v>
      </c>
      <c r="FM232" t="s">
        <v>442</v>
      </c>
    </row>
    <row r="233" spans="51:169">
      <c r="AY233" t="s">
        <v>928</v>
      </c>
      <c r="CA233" t="s">
        <v>445</v>
      </c>
      <c r="CB233" t="s">
        <v>445</v>
      </c>
      <c r="CG233" t="s">
        <v>1526</v>
      </c>
      <c r="CH233" t="s">
        <v>442</v>
      </c>
      <c r="CP233" t="s">
        <v>442</v>
      </c>
      <c r="FM233" t="s">
        <v>443</v>
      </c>
    </row>
    <row r="234" spans="51:169">
      <c r="AY234" t="s">
        <v>346</v>
      </c>
      <c r="CA234" t="s">
        <v>446</v>
      </c>
      <c r="CB234" t="s">
        <v>446</v>
      </c>
      <c r="CG234" t="s">
        <v>1527</v>
      </c>
      <c r="CH234" t="s">
        <v>443</v>
      </c>
      <c r="CP234" t="s">
        <v>443</v>
      </c>
      <c r="FM234" t="s">
        <v>444</v>
      </c>
    </row>
    <row r="235" spans="51:169">
      <c r="AY235" t="s">
        <v>387</v>
      </c>
      <c r="CA235" t="s">
        <v>447</v>
      </c>
      <c r="CB235" t="s">
        <v>447</v>
      </c>
      <c r="CG235" t="s">
        <v>1528</v>
      </c>
      <c r="CH235" t="s">
        <v>444</v>
      </c>
      <c r="CP235" t="s">
        <v>444</v>
      </c>
      <c r="FM235" t="s">
        <v>445</v>
      </c>
    </row>
    <row r="236" spans="51:169">
      <c r="AY236" t="s">
        <v>397</v>
      </c>
      <c r="CA236" t="s">
        <v>928</v>
      </c>
      <c r="CB236" t="s">
        <v>928</v>
      </c>
      <c r="CG236" t="s">
        <v>1529</v>
      </c>
      <c r="CH236" t="s">
        <v>445</v>
      </c>
      <c r="CP236" t="s">
        <v>445</v>
      </c>
      <c r="FM236" t="s">
        <v>446</v>
      </c>
    </row>
    <row r="237" spans="51:169">
      <c r="AY237" t="s">
        <v>418</v>
      </c>
      <c r="CA237" t="s">
        <v>448</v>
      </c>
      <c r="CB237" t="s">
        <v>448</v>
      </c>
      <c r="CG237" t="s">
        <v>1530</v>
      </c>
      <c r="CH237" t="s">
        <v>446</v>
      </c>
      <c r="CP237" t="s">
        <v>446</v>
      </c>
      <c r="FM237" t="s">
        <v>447</v>
      </c>
    </row>
    <row r="238" spans="51:169">
      <c r="AY238" t="s">
        <v>442</v>
      </c>
      <c r="CA238" t="s">
        <v>449</v>
      </c>
      <c r="CB238" t="s">
        <v>449</v>
      </c>
      <c r="CG238" t="s">
        <v>1531</v>
      </c>
      <c r="CH238" t="s">
        <v>447</v>
      </c>
      <c r="CP238" t="s">
        <v>448</v>
      </c>
      <c r="FM238" t="s">
        <v>448</v>
      </c>
    </row>
    <row r="239" spans="51:169">
      <c r="AY239" t="s">
        <v>448</v>
      </c>
      <c r="CA239" t="s">
        <v>450</v>
      </c>
      <c r="CB239" t="s">
        <v>450</v>
      </c>
      <c r="CG239" t="s">
        <v>1532</v>
      </c>
      <c r="CH239" t="s">
        <v>448</v>
      </c>
      <c r="CP239" t="s">
        <v>449</v>
      </c>
      <c r="FM239" t="s">
        <v>449</v>
      </c>
    </row>
    <row r="240" spans="51:169">
      <c r="AY240" t="s">
        <v>449</v>
      </c>
      <c r="CA240" t="s">
        <v>451</v>
      </c>
      <c r="CB240" t="s">
        <v>451</v>
      </c>
      <c r="CG240" t="s">
        <v>1533</v>
      </c>
      <c r="CH240" t="s">
        <v>449</v>
      </c>
      <c r="CP240" t="s">
        <v>450</v>
      </c>
      <c r="FM240" t="s">
        <v>450</v>
      </c>
    </row>
    <row r="241" spans="51:169">
      <c r="AY241" t="s">
        <v>450</v>
      </c>
      <c r="CA241" t="s">
        <v>452</v>
      </c>
      <c r="CB241" t="s">
        <v>452</v>
      </c>
      <c r="CG241" t="s">
        <v>1534</v>
      </c>
      <c r="CH241" t="s">
        <v>450</v>
      </c>
      <c r="CP241" t="s">
        <v>451</v>
      </c>
      <c r="FM241" t="s">
        <v>451</v>
      </c>
    </row>
    <row r="242" spans="51:169">
      <c r="AY242" t="s">
        <v>451</v>
      </c>
      <c r="CA242" t="s">
        <v>453</v>
      </c>
      <c r="CB242" t="s">
        <v>453</v>
      </c>
      <c r="CG242" t="s">
        <v>1535</v>
      </c>
      <c r="CH242" t="s">
        <v>451</v>
      </c>
      <c r="CP242" t="s">
        <v>452</v>
      </c>
      <c r="FM242" t="s">
        <v>452</v>
      </c>
    </row>
    <row r="243" spans="51:169">
      <c r="AY243" t="s">
        <v>452</v>
      </c>
      <c r="CA243" t="s">
        <v>454</v>
      </c>
      <c r="CB243" t="s">
        <v>454</v>
      </c>
      <c r="CG243" t="s">
        <v>1536</v>
      </c>
      <c r="CH243" t="s">
        <v>452</v>
      </c>
      <c r="CP243" t="s">
        <v>453</v>
      </c>
      <c r="FM243" t="s">
        <v>453</v>
      </c>
    </row>
    <row r="244" spans="51:169">
      <c r="AY244" t="s">
        <v>453</v>
      </c>
      <c r="CA244" t="s">
        <v>455</v>
      </c>
      <c r="CB244" t="s">
        <v>455</v>
      </c>
      <c r="CG244" t="s">
        <v>1537</v>
      </c>
      <c r="CH244" t="s">
        <v>453</v>
      </c>
      <c r="CP244" t="s">
        <v>454</v>
      </c>
      <c r="FM244" t="s">
        <v>454</v>
      </c>
    </row>
    <row r="245" spans="51:169">
      <c r="AY245" t="s">
        <v>454</v>
      </c>
      <c r="CA245" t="s">
        <v>456</v>
      </c>
      <c r="CB245" t="s">
        <v>456</v>
      </c>
      <c r="CG245" t="s">
        <v>1538</v>
      </c>
      <c r="CH245" t="s">
        <v>454</v>
      </c>
      <c r="CP245" t="s">
        <v>455</v>
      </c>
      <c r="FM245" t="s">
        <v>455</v>
      </c>
    </row>
    <row r="246" spans="51:169">
      <c r="AY246" t="s">
        <v>456</v>
      </c>
      <c r="CA246" t="s">
        <v>457</v>
      </c>
      <c r="CB246" t="s">
        <v>457</v>
      </c>
      <c r="CG246" t="s">
        <v>1539</v>
      </c>
      <c r="CH246" t="s">
        <v>455</v>
      </c>
      <c r="CP246" t="s">
        <v>456</v>
      </c>
      <c r="FM246" t="s">
        <v>456</v>
      </c>
    </row>
    <row r="247" spans="51:169">
      <c r="AY247" t="s">
        <v>457</v>
      </c>
      <c r="CA247" t="s">
        <v>458</v>
      </c>
      <c r="CB247" t="s">
        <v>458</v>
      </c>
      <c r="CG247" t="s">
        <v>1540</v>
      </c>
      <c r="CH247" t="s">
        <v>456</v>
      </c>
      <c r="CP247" t="s">
        <v>457</v>
      </c>
      <c r="FM247" t="s">
        <v>457</v>
      </c>
    </row>
    <row r="248" spans="51:169">
      <c r="AY248" t="s">
        <v>458</v>
      </c>
      <c r="CA248" t="s">
        <v>459</v>
      </c>
      <c r="CB248" t="s">
        <v>459</v>
      </c>
      <c r="CG248" t="s">
        <v>1541</v>
      </c>
      <c r="CH248" t="s">
        <v>457</v>
      </c>
      <c r="CP248" t="s">
        <v>458</v>
      </c>
      <c r="FM248" t="s">
        <v>458</v>
      </c>
    </row>
    <row r="249" spans="51:169">
      <c r="AY249" t="s">
        <v>459</v>
      </c>
      <c r="CA249" t="s">
        <v>460</v>
      </c>
      <c r="CB249" t="s">
        <v>460</v>
      </c>
      <c r="CG249" t="s">
        <v>1542</v>
      </c>
      <c r="CH249" t="s">
        <v>458</v>
      </c>
      <c r="CP249" t="s">
        <v>459</v>
      </c>
      <c r="FM249" t="s">
        <v>459</v>
      </c>
    </row>
    <row r="250" spans="51:169">
      <c r="AY250" t="s">
        <v>460</v>
      </c>
      <c r="CA250" t="s">
        <v>461</v>
      </c>
      <c r="CB250" t="s">
        <v>461</v>
      </c>
      <c r="CG250" t="s">
        <v>1543</v>
      </c>
      <c r="CH250" t="s">
        <v>459</v>
      </c>
      <c r="CP250" t="s">
        <v>460</v>
      </c>
      <c r="FM250" t="s">
        <v>460</v>
      </c>
    </row>
    <row r="251" spans="51:169">
      <c r="AY251" t="s">
        <v>461</v>
      </c>
      <c r="CA251" t="s">
        <v>419</v>
      </c>
      <c r="CB251" t="s">
        <v>419</v>
      </c>
      <c r="CG251" t="s">
        <v>1544</v>
      </c>
      <c r="CH251" t="s">
        <v>460</v>
      </c>
      <c r="CP251" t="s">
        <v>461</v>
      </c>
      <c r="FM251" t="s">
        <v>461</v>
      </c>
    </row>
    <row r="252" spans="51:169">
      <c r="AY252" t="s">
        <v>419</v>
      </c>
      <c r="CA252" t="s">
        <v>929</v>
      </c>
      <c r="CB252" t="s">
        <v>929</v>
      </c>
      <c r="CG252" t="s">
        <v>1545</v>
      </c>
      <c r="CH252" t="s">
        <v>461</v>
      </c>
      <c r="CP252" t="s">
        <v>2279</v>
      </c>
      <c r="FM252" t="s">
        <v>419</v>
      </c>
    </row>
    <row r="253" spans="51:169">
      <c r="AY253" t="s">
        <v>929</v>
      </c>
      <c r="CA253" t="s">
        <v>930</v>
      </c>
      <c r="CB253" t="s">
        <v>930</v>
      </c>
      <c r="CG253" t="s">
        <v>1546</v>
      </c>
      <c r="CH253" t="s">
        <v>2279</v>
      </c>
      <c r="CP253" t="s">
        <v>2280</v>
      </c>
      <c r="FM253" t="s">
        <v>929</v>
      </c>
    </row>
    <row r="254" spans="51:169">
      <c r="AY254" t="s">
        <v>930</v>
      </c>
      <c r="CA254" t="s">
        <v>931</v>
      </c>
      <c r="CB254" t="s">
        <v>931</v>
      </c>
      <c r="CG254" t="s">
        <v>1547</v>
      </c>
      <c r="CH254" t="s">
        <v>2280</v>
      </c>
      <c r="CP254" t="s">
        <v>419</v>
      </c>
      <c r="FM254" t="s">
        <v>930</v>
      </c>
    </row>
    <row r="255" spans="51:169">
      <c r="AY255" t="s">
        <v>931</v>
      </c>
      <c r="CA255" t="s">
        <v>932</v>
      </c>
      <c r="CB255" t="s">
        <v>932</v>
      </c>
      <c r="CG255" t="s">
        <v>1548</v>
      </c>
      <c r="CH255" t="s">
        <v>929</v>
      </c>
      <c r="CP255" t="s">
        <v>2391</v>
      </c>
      <c r="FM255" t="s">
        <v>931</v>
      </c>
    </row>
    <row r="256" spans="51:169">
      <c r="AY256" t="s">
        <v>932</v>
      </c>
      <c r="CA256" t="s">
        <v>933</v>
      </c>
      <c r="CB256" t="s">
        <v>933</v>
      </c>
      <c r="CG256" t="s">
        <v>1549</v>
      </c>
      <c r="CH256" t="s">
        <v>930</v>
      </c>
      <c r="CP256" t="s">
        <v>931</v>
      </c>
      <c r="FM256" t="s">
        <v>932</v>
      </c>
    </row>
    <row r="257" spans="51:169">
      <c r="AY257" t="s">
        <v>933</v>
      </c>
      <c r="CG257" t="s">
        <v>1550</v>
      </c>
      <c r="CH257" t="s">
        <v>931</v>
      </c>
      <c r="CP257" t="s">
        <v>932</v>
      </c>
      <c r="FM257" t="s">
        <v>933</v>
      </c>
    </row>
    <row r="258" spans="51:169">
      <c r="CG258" t="s">
        <v>1551</v>
      </c>
      <c r="CH258" t="s">
        <v>932</v>
      </c>
      <c r="CP258" t="s">
        <v>933</v>
      </c>
    </row>
    <row r="259" spans="51:169">
      <c r="CG259" t="s">
        <v>1552</v>
      </c>
      <c r="CH259" t="s">
        <v>933</v>
      </c>
    </row>
    <row r="260" spans="51:169">
      <c r="CG260" t="s">
        <v>1553</v>
      </c>
    </row>
    <row r="261" spans="51:169">
      <c r="CG261" t="s">
        <v>1554</v>
      </c>
    </row>
    <row r="262" spans="51:169">
      <c r="CG262" t="s">
        <v>1555</v>
      </c>
    </row>
    <row r="263" spans="51:169">
      <c r="CG263" t="s">
        <v>1556</v>
      </c>
    </row>
    <row r="264" spans="51:169">
      <c r="CG264" t="s">
        <v>1557</v>
      </c>
    </row>
    <row r="265" spans="51:169">
      <c r="CG265" t="s">
        <v>1558</v>
      </c>
    </row>
    <row r="266" spans="51:169">
      <c r="CG266" t="s">
        <v>1559</v>
      </c>
    </row>
    <row r="267" spans="51:169">
      <c r="CG267" t="s">
        <v>1560</v>
      </c>
    </row>
    <row r="268" spans="51:169">
      <c r="CG268" t="s">
        <v>1561</v>
      </c>
    </row>
    <row r="269" spans="51:169">
      <c r="CG269" t="s">
        <v>1562</v>
      </c>
    </row>
    <row r="270" spans="51:169">
      <c r="CG270" t="s">
        <v>1563</v>
      </c>
    </row>
    <row r="271" spans="51:169">
      <c r="CG271" t="s">
        <v>1564</v>
      </c>
    </row>
    <row r="272" spans="51:169">
      <c r="CG272" t="s">
        <v>1565</v>
      </c>
    </row>
    <row r="273" spans="85:85">
      <c r="CG273" t="s">
        <v>1566</v>
      </c>
    </row>
    <row r="274" spans="85:85">
      <c r="CG274" t="s">
        <v>1567</v>
      </c>
    </row>
    <row r="275" spans="85:85">
      <c r="CG275" t="s">
        <v>1568</v>
      </c>
    </row>
    <row r="276" spans="85:85">
      <c r="CG276" t="s">
        <v>1569</v>
      </c>
    </row>
    <row r="277" spans="85:85">
      <c r="CG277" t="s">
        <v>1570</v>
      </c>
    </row>
    <row r="278" spans="85:85">
      <c r="CG278" t="s">
        <v>1571</v>
      </c>
    </row>
    <row r="279" spans="85:85">
      <c r="CG279" t="s">
        <v>1572</v>
      </c>
    </row>
    <row r="280" spans="85:85">
      <c r="CG280" t="s">
        <v>1573</v>
      </c>
    </row>
    <row r="281" spans="85:85">
      <c r="CG281" t="s">
        <v>1574</v>
      </c>
    </row>
    <row r="282" spans="85:85">
      <c r="CG282" t="s">
        <v>1575</v>
      </c>
    </row>
    <row r="283" spans="85:85">
      <c r="CG283" t="s">
        <v>1576</v>
      </c>
    </row>
    <row r="284" spans="85:85">
      <c r="CG284" t="s">
        <v>1577</v>
      </c>
    </row>
    <row r="285" spans="85:85">
      <c r="CG285" t="s">
        <v>1578</v>
      </c>
    </row>
    <row r="286" spans="85:85">
      <c r="CG286" t="s">
        <v>1579</v>
      </c>
    </row>
    <row r="287" spans="85:85">
      <c r="CG287" t="s">
        <v>1580</v>
      </c>
    </row>
    <row r="288" spans="85:85">
      <c r="CG288" t="s">
        <v>1581</v>
      </c>
    </row>
    <row r="289" spans="85:85">
      <c r="CG289" t="s">
        <v>1582</v>
      </c>
    </row>
    <row r="290" spans="85:85">
      <c r="CG290" t="s">
        <v>1583</v>
      </c>
    </row>
    <row r="291" spans="85:85">
      <c r="CG291" t="s">
        <v>1584</v>
      </c>
    </row>
    <row r="292" spans="85:85">
      <c r="CG292" t="s">
        <v>1585</v>
      </c>
    </row>
    <row r="293" spans="85:85">
      <c r="CG293" t="s">
        <v>1586</v>
      </c>
    </row>
    <row r="294" spans="85:85">
      <c r="CG294" t="s">
        <v>1587</v>
      </c>
    </row>
    <row r="295" spans="85:85">
      <c r="CG295" t="s">
        <v>1588</v>
      </c>
    </row>
    <row r="296" spans="85:85">
      <c r="CG296" t="s">
        <v>1589</v>
      </c>
    </row>
    <row r="297" spans="85:85">
      <c r="CG297" t="s">
        <v>1590</v>
      </c>
    </row>
    <row r="298" spans="85:85">
      <c r="CG298" t="s">
        <v>1591</v>
      </c>
    </row>
    <row r="299" spans="85:85">
      <c r="CG299" t="s">
        <v>1592</v>
      </c>
    </row>
    <row r="300" spans="85:85">
      <c r="CG300" t="s">
        <v>1593</v>
      </c>
    </row>
    <row r="301" spans="85:85">
      <c r="CG301" t="s">
        <v>1594</v>
      </c>
    </row>
    <row r="302" spans="85:85">
      <c r="CG302" t="s">
        <v>1595</v>
      </c>
    </row>
    <row r="303" spans="85:85">
      <c r="CG303" t="s">
        <v>1596</v>
      </c>
    </row>
    <row r="304" spans="85:85">
      <c r="CG304" t="s">
        <v>1597</v>
      </c>
    </row>
    <row r="305" spans="85:85">
      <c r="CG305" t="s">
        <v>1598</v>
      </c>
    </row>
    <row r="306" spans="85:85">
      <c r="CG306" t="s">
        <v>1599</v>
      </c>
    </row>
    <row r="307" spans="85:85">
      <c r="CG307" t="s">
        <v>1600</v>
      </c>
    </row>
    <row r="308" spans="85:85">
      <c r="CG308" t="s">
        <v>1601</v>
      </c>
    </row>
    <row r="309" spans="85:85">
      <c r="CG309" t="s">
        <v>1602</v>
      </c>
    </row>
    <row r="310" spans="85:85">
      <c r="CG310" t="s">
        <v>1603</v>
      </c>
    </row>
    <row r="311" spans="85:85">
      <c r="CG311" t="s">
        <v>1604</v>
      </c>
    </row>
    <row r="312" spans="85:85">
      <c r="CG312" t="s">
        <v>1605</v>
      </c>
    </row>
    <row r="313" spans="85:85">
      <c r="CG313" t="s">
        <v>1606</v>
      </c>
    </row>
    <row r="314" spans="85:85">
      <c r="CG314" t="s">
        <v>1607</v>
      </c>
    </row>
    <row r="315" spans="85:85">
      <c r="CG315" t="s">
        <v>1608</v>
      </c>
    </row>
    <row r="316" spans="85:85">
      <c r="CG316" t="s">
        <v>1609</v>
      </c>
    </row>
    <row r="317" spans="85:85">
      <c r="CG317" t="s">
        <v>1610</v>
      </c>
    </row>
    <row r="318" spans="85:85">
      <c r="CG318" t="s">
        <v>1611</v>
      </c>
    </row>
    <row r="319" spans="85:85">
      <c r="CG319" t="s">
        <v>1612</v>
      </c>
    </row>
    <row r="320" spans="85:85">
      <c r="CG320" t="s">
        <v>1613</v>
      </c>
    </row>
    <row r="321" spans="85:85">
      <c r="CG321" t="s">
        <v>1614</v>
      </c>
    </row>
    <row r="322" spans="85:85">
      <c r="CG322" t="s">
        <v>1615</v>
      </c>
    </row>
    <row r="323" spans="85:85">
      <c r="CG323" t="s">
        <v>1616</v>
      </c>
    </row>
    <row r="324" spans="85:85">
      <c r="CG324" t="s">
        <v>1617</v>
      </c>
    </row>
    <row r="325" spans="85:85">
      <c r="CG325" t="s">
        <v>1618</v>
      </c>
    </row>
    <row r="326" spans="85:85">
      <c r="CG326" t="s">
        <v>1619</v>
      </c>
    </row>
    <row r="327" spans="85:85">
      <c r="CG327" t="s">
        <v>1620</v>
      </c>
    </row>
    <row r="328" spans="85:85">
      <c r="CG328" t="s">
        <v>1621</v>
      </c>
    </row>
    <row r="329" spans="85:85">
      <c r="CG329" t="s">
        <v>1622</v>
      </c>
    </row>
    <row r="330" spans="85:85">
      <c r="CG330" t="s">
        <v>1623</v>
      </c>
    </row>
    <row r="331" spans="85:85">
      <c r="CG331" t="s">
        <v>1624</v>
      </c>
    </row>
    <row r="332" spans="85:85">
      <c r="CG332" t="s">
        <v>1625</v>
      </c>
    </row>
    <row r="333" spans="85:85">
      <c r="CG333" t="s">
        <v>1626</v>
      </c>
    </row>
    <row r="334" spans="85:85">
      <c r="CG334" t="s">
        <v>1627</v>
      </c>
    </row>
    <row r="335" spans="85:85">
      <c r="CG335" t="s">
        <v>1628</v>
      </c>
    </row>
    <row r="336" spans="85:85">
      <c r="CG336" t="s">
        <v>1629</v>
      </c>
    </row>
    <row r="337" spans="85:85">
      <c r="CG337" t="s">
        <v>1630</v>
      </c>
    </row>
    <row r="338" spans="85:85">
      <c r="CG338" t="s">
        <v>1631</v>
      </c>
    </row>
    <row r="339" spans="85:85">
      <c r="CG339" t="s">
        <v>1632</v>
      </c>
    </row>
    <row r="340" spans="85:85">
      <c r="CG340" t="s">
        <v>1633</v>
      </c>
    </row>
    <row r="341" spans="85:85">
      <c r="CG341" t="s">
        <v>1634</v>
      </c>
    </row>
    <row r="342" spans="85:85">
      <c r="CG342" t="s">
        <v>1635</v>
      </c>
    </row>
    <row r="343" spans="85:85">
      <c r="CG343" t="s">
        <v>1636</v>
      </c>
    </row>
    <row r="344" spans="85:85">
      <c r="CG344" t="s">
        <v>1637</v>
      </c>
    </row>
    <row r="345" spans="85:85">
      <c r="CG345" t="s">
        <v>1638</v>
      </c>
    </row>
    <row r="346" spans="85:85">
      <c r="CG346" t="s">
        <v>1639</v>
      </c>
    </row>
    <row r="347" spans="85:85">
      <c r="CG347" t="s">
        <v>1640</v>
      </c>
    </row>
    <row r="348" spans="85:85">
      <c r="CG348" t="s">
        <v>1641</v>
      </c>
    </row>
    <row r="349" spans="85:85">
      <c r="CG349" t="s">
        <v>1642</v>
      </c>
    </row>
    <row r="350" spans="85:85">
      <c r="CG350" t="s">
        <v>1643</v>
      </c>
    </row>
    <row r="351" spans="85:85">
      <c r="CG351" t="s">
        <v>1644</v>
      </c>
    </row>
    <row r="352" spans="85:85">
      <c r="CG352" t="s">
        <v>1645</v>
      </c>
    </row>
    <row r="353" spans="85:85">
      <c r="CG353" t="s">
        <v>1646</v>
      </c>
    </row>
    <row r="354" spans="85:85">
      <c r="CG354" t="s">
        <v>1647</v>
      </c>
    </row>
    <row r="355" spans="85:85">
      <c r="CG355" t="s">
        <v>1648</v>
      </c>
    </row>
    <row r="356" spans="85:85">
      <c r="CG356" t="s">
        <v>1649</v>
      </c>
    </row>
    <row r="357" spans="85:85">
      <c r="CG357" t="s">
        <v>1650</v>
      </c>
    </row>
    <row r="358" spans="85:85">
      <c r="CG358" t="s">
        <v>1651</v>
      </c>
    </row>
    <row r="359" spans="85:85">
      <c r="CG359" t="s">
        <v>1652</v>
      </c>
    </row>
    <row r="360" spans="85:85">
      <c r="CG360" t="s">
        <v>1653</v>
      </c>
    </row>
    <row r="361" spans="85:85">
      <c r="CG361" t="s">
        <v>1654</v>
      </c>
    </row>
    <row r="362" spans="85:85">
      <c r="CG362" t="s">
        <v>1655</v>
      </c>
    </row>
    <row r="363" spans="85:85">
      <c r="CG363" t="s">
        <v>1656</v>
      </c>
    </row>
    <row r="364" spans="85:85">
      <c r="CG364" t="s">
        <v>1657</v>
      </c>
    </row>
    <row r="365" spans="85:85">
      <c r="CG365" t="s">
        <v>1658</v>
      </c>
    </row>
    <row r="366" spans="85:85">
      <c r="CG366" t="s">
        <v>1659</v>
      </c>
    </row>
    <row r="367" spans="85:85">
      <c r="CG367" t="s">
        <v>1660</v>
      </c>
    </row>
    <row r="368" spans="85:85">
      <c r="CG368" t="s">
        <v>1661</v>
      </c>
    </row>
    <row r="369" spans="85:85">
      <c r="CG369" t="s">
        <v>1662</v>
      </c>
    </row>
    <row r="370" spans="85:85">
      <c r="CG370" t="s">
        <v>1663</v>
      </c>
    </row>
    <row r="371" spans="85:85">
      <c r="CG371" t="s">
        <v>1664</v>
      </c>
    </row>
    <row r="372" spans="85:85">
      <c r="CG372" t="s">
        <v>1665</v>
      </c>
    </row>
    <row r="373" spans="85:85">
      <c r="CG373" t="s">
        <v>1666</v>
      </c>
    </row>
    <row r="374" spans="85:85">
      <c r="CG374" t="s">
        <v>1667</v>
      </c>
    </row>
    <row r="375" spans="85:85">
      <c r="CG375" t="s">
        <v>1668</v>
      </c>
    </row>
    <row r="376" spans="85:85">
      <c r="CG376" t="s">
        <v>1669</v>
      </c>
    </row>
    <row r="377" spans="85:85">
      <c r="CG377" t="s">
        <v>1670</v>
      </c>
    </row>
    <row r="378" spans="85:85">
      <c r="CG378" t="s">
        <v>1671</v>
      </c>
    </row>
    <row r="379" spans="85:85">
      <c r="CG379" t="s">
        <v>1672</v>
      </c>
    </row>
    <row r="380" spans="85:85">
      <c r="CG380" t="s">
        <v>1673</v>
      </c>
    </row>
    <row r="381" spans="85:85">
      <c r="CG381" t="s">
        <v>1674</v>
      </c>
    </row>
    <row r="382" spans="85:85">
      <c r="CG382" t="s">
        <v>1675</v>
      </c>
    </row>
    <row r="383" spans="85:85">
      <c r="CG383" t="s">
        <v>1676</v>
      </c>
    </row>
    <row r="384" spans="85:85">
      <c r="CG384" t="s">
        <v>1677</v>
      </c>
    </row>
    <row r="385" spans="85:85">
      <c r="CG385" t="s">
        <v>1678</v>
      </c>
    </row>
    <row r="386" spans="85:85">
      <c r="CG386" t="s">
        <v>1679</v>
      </c>
    </row>
    <row r="387" spans="85:85">
      <c r="CG387" t="s">
        <v>1680</v>
      </c>
    </row>
    <row r="388" spans="85:85">
      <c r="CG388" t="s">
        <v>1681</v>
      </c>
    </row>
    <row r="389" spans="85:85">
      <c r="CG389" t="s">
        <v>1682</v>
      </c>
    </row>
    <row r="390" spans="85:85">
      <c r="CG390" t="s">
        <v>1683</v>
      </c>
    </row>
    <row r="391" spans="85:85">
      <c r="CG391" t="s">
        <v>1684</v>
      </c>
    </row>
    <row r="392" spans="85:85">
      <c r="CG392" t="s">
        <v>1685</v>
      </c>
    </row>
    <row r="393" spans="85:85">
      <c r="CG393" t="s">
        <v>1686</v>
      </c>
    </row>
    <row r="394" spans="85:85">
      <c r="CG394" t="s">
        <v>1687</v>
      </c>
    </row>
    <row r="395" spans="85:85">
      <c r="CG395" t="s">
        <v>1688</v>
      </c>
    </row>
    <row r="396" spans="85:85">
      <c r="CG396" t="s">
        <v>1689</v>
      </c>
    </row>
    <row r="397" spans="85:85">
      <c r="CG397" t="s">
        <v>1690</v>
      </c>
    </row>
    <row r="398" spans="85:85">
      <c r="CG398" t="s">
        <v>1691</v>
      </c>
    </row>
    <row r="399" spans="85:85">
      <c r="CG399" t="s">
        <v>1692</v>
      </c>
    </row>
    <row r="400" spans="85:85">
      <c r="CG400" t="s">
        <v>1693</v>
      </c>
    </row>
    <row r="401" spans="85:85">
      <c r="CG401" t="s">
        <v>1694</v>
      </c>
    </row>
    <row r="402" spans="85:85">
      <c r="CG402" t="s">
        <v>1695</v>
      </c>
    </row>
    <row r="403" spans="85:85">
      <c r="CG403" t="s">
        <v>1696</v>
      </c>
    </row>
    <row r="404" spans="85:85">
      <c r="CG404" t="s">
        <v>1697</v>
      </c>
    </row>
    <row r="405" spans="85:85">
      <c r="CG405" t="s">
        <v>1698</v>
      </c>
    </row>
    <row r="406" spans="85:85">
      <c r="CG406" t="s">
        <v>1699</v>
      </c>
    </row>
    <row r="407" spans="85:85">
      <c r="CG407" t="s">
        <v>1700</v>
      </c>
    </row>
    <row r="408" spans="85:85">
      <c r="CG408" t="s">
        <v>1701</v>
      </c>
    </row>
    <row r="409" spans="85:85">
      <c r="CG409" t="s">
        <v>1702</v>
      </c>
    </row>
    <row r="410" spans="85:85">
      <c r="CG410" t="s">
        <v>1703</v>
      </c>
    </row>
    <row r="411" spans="85:85">
      <c r="CG411" t="s">
        <v>1704</v>
      </c>
    </row>
    <row r="412" spans="85:85">
      <c r="CG412" t="s">
        <v>1705</v>
      </c>
    </row>
    <row r="413" spans="85:85">
      <c r="CG413" t="s">
        <v>1706</v>
      </c>
    </row>
    <row r="414" spans="85:85">
      <c r="CG414" t="s">
        <v>1707</v>
      </c>
    </row>
    <row r="415" spans="85:85">
      <c r="CG415" t="s">
        <v>1708</v>
      </c>
    </row>
    <row r="416" spans="85:85">
      <c r="CG416" t="s">
        <v>1709</v>
      </c>
    </row>
    <row r="417" spans="85:85">
      <c r="CG417" t="s">
        <v>1710</v>
      </c>
    </row>
    <row r="418" spans="85:85">
      <c r="CG418" t="s">
        <v>1711</v>
      </c>
    </row>
    <row r="419" spans="85:85">
      <c r="CG419" t="s">
        <v>1712</v>
      </c>
    </row>
    <row r="420" spans="85:85">
      <c r="CG420" t="s">
        <v>1713</v>
      </c>
    </row>
    <row r="421" spans="85:85">
      <c r="CG421" t="s">
        <v>1714</v>
      </c>
    </row>
    <row r="422" spans="85:85">
      <c r="CG422" t="s">
        <v>1715</v>
      </c>
    </row>
    <row r="423" spans="85:85">
      <c r="CG423" t="s">
        <v>1716</v>
      </c>
    </row>
    <row r="424" spans="85:85">
      <c r="CG424" t="s">
        <v>1717</v>
      </c>
    </row>
    <row r="425" spans="85:85">
      <c r="CG425" t="s">
        <v>1718</v>
      </c>
    </row>
    <row r="426" spans="85:85">
      <c r="CG426" t="s">
        <v>1719</v>
      </c>
    </row>
    <row r="427" spans="85:85">
      <c r="CG427" t="s">
        <v>1720</v>
      </c>
    </row>
    <row r="428" spans="85:85">
      <c r="CG428" t="s">
        <v>1721</v>
      </c>
    </row>
    <row r="429" spans="85:85">
      <c r="CG429" t="s">
        <v>1722</v>
      </c>
    </row>
    <row r="430" spans="85:85">
      <c r="CG430" t="s">
        <v>1723</v>
      </c>
    </row>
    <row r="431" spans="85:85">
      <c r="CG431" t="s">
        <v>1724</v>
      </c>
    </row>
    <row r="432" spans="85:85">
      <c r="CG432" t="s">
        <v>1725</v>
      </c>
    </row>
    <row r="433" spans="85:85">
      <c r="CG433" t="s">
        <v>1726</v>
      </c>
    </row>
    <row r="434" spans="85:85">
      <c r="CG434" t="s">
        <v>1727</v>
      </c>
    </row>
    <row r="435" spans="85:85">
      <c r="CG435" t="s">
        <v>1728</v>
      </c>
    </row>
    <row r="436" spans="85:85">
      <c r="CG436" t="s">
        <v>1729</v>
      </c>
    </row>
    <row r="437" spans="85:85">
      <c r="CG437" t="s">
        <v>1730</v>
      </c>
    </row>
    <row r="438" spans="85:85">
      <c r="CG438" t="s">
        <v>1731</v>
      </c>
    </row>
    <row r="439" spans="85:85">
      <c r="CG439" t="s">
        <v>1732</v>
      </c>
    </row>
    <row r="440" spans="85:85">
      <c r="CG440" t="s">
        <v>1733</v>
      </c>
    </row>
    <row r="441" spans="85:85">
      <c r="CG441" t="s">
        <v>1734</v>
      </c>
    </row>
    <row r="442" spans="85:85">
      <c r="CG442" t="s">
        <v>1735</v>
      </c>
    </row>
    <row r="443" spans="85:85">
      <c r="CG443" t="s">
        <v>1736</v>
      </c>
    </row>
    <row r="444" spans="85:85">
      <c r="CG444" t="s">
        <v>1737</v>
      </c>
    </row>
    <row r="445" spans="85:85">
      <c r="CG445" t="s">
        <v>1738</v>
      </c>
    </row>
    <row r="446" spans="85:85">
      <c r="CG446" t="s">
        <v>1739</v>
      </c>
    </row>
    <row r="447" spans="85:85">
      <c r="CG447" t="s">
        <v>1740</v>
      </c>
    </row>
    <row r="448" spans="85:85">
      <c r="CG448" t="s">
        <v>1741</v>
      </c>
    </row>
    <row r="449" spans="85:85">
      <c r="CG449" t="s">
        <v>1742</v>
      </c>
    </row>
    <row r="450" spans="85:85">
      <c r="CG450" t="s">
        <v>1743</v>
      </c>
    </row>
    <row r="451" spans="85:85">
      <c r="CG451" t="s">
        <v>1744</v>
      </c>
    </row>
    <row r="452" spans="85:85">
      <c r="CG452" t="s">
        <v>1745</v>
      </c>
    </row>
    <row r="453" spans="85:85">
      <c r="CG453" t="s">
        <v>1746</v>
      </c>
    </row>
    <row r="454" spans="85:85">
      <c r="CG454" t="s">
        <v>1747</v>
      </c>
    </row>
    <row r="455" spans="85:85">
      <c r="CG455" t="s">
        <v>1748</v>
      </c>
    </row>
    <row r="456" spans="85:85">
      <c r="CG456" t="s">
        <v>1749</v>
      </c>
    </row>
    <row r="457" spans="85:85">
      <c r="CG457" t="s">
        <v>1750</v>
      </c>
    </row>
    <row r="458" spans="85:85">
      <c r="CG458" t="s">
        <v>1751</v>
      </c>
    </row>
    <row r="459" spans="85:85">
      <c r="CG459" t="s">
        <v>1752</v>
      </c>
    </row>
    <row r="460" spans="85:85">
      <c r="CG460" t="s">
        <v>1753</v>
      </c>
    </row>
    <row r="461" spans="85:85">
      <c r="CG461" t="s">
        <v>1754</v>
      </c>
    </row>
    <row r="462" spans="85:85">
      <c r="CG462" t="s">
        <v>1755</v>
      </c>
    </row>
    <row r="463" spans="85:85">
      <c r="CG463" t="s">
        <v>1756</v>
      </c>
    </row>
    <row r="464" spans="85:85">
      <c r="CG464" t="s">
        <v>1757</v>
      </c>
    </row>
    <row r="465" spans="85:85">
      <c r="CG465" t="s">
        <v>1758</v>
      </c>
    </row>
    <row r="466" spans="85:85">
      <c r="CG466" t="s">
        <v>1759</v>
      </c>
    </row>
    <row r="467" spans="85:85">
      <c r="CG467" t="s">
        <v>1760</v>
      </c>
    </row>
    <row r="468" spans="85:85">
      <c r="CG468" t="s">
        <v>1761</v>
      </c>
    </row>
    <row r="469" spans="85:85">
      <c r="CG469" t="s">
        <v>1762</v>
      </c>
    </row>
    <row r="470" spans="85:85">
      <c r="CG470" t="s">
        <v>1763</v>
      </c>
    </row>
    <row r="471" spans="85:85">
      <c r="CG471" t="s">
        <v>1764</v>
      </c>
    </row>
    <row r="472" spans="85:85">
      <c r="CG472" t="s">
        <v>1765</v>
      </c>
    </row>
    <row r="473" spans="85:85">
      <c r="CG473" t="s">
        <v>1766</v>
      </c>
    </row>
    <row r="474" spans="85:85">
      <c r="CG474" t="s">
        <v>1767</v>
      </c>
    </row>
    <row r="475" spans="85:85">
      <c r="CG475" t="s">
        <v>1768</v>
      </c>
    </row>
    <row r="476" spans="85:85">
      <c r="CG476" t="s">
        <v>1769</v>
      </c>
    </row>
    <row r="477" spans="85:85">
      <c r="CG477" t="s">
        <v>1770</v>
      </c>
    </row>
    <row r="478" spans="85:85">
      <c r="CG478" t="s">
        <v>1771</v>
      </c>
    </row>
    <row r="479" spans="85:85">
      <c r="CG479" t="s">
        <v>1772</v>
      </c>
    </row>
    <row r="480" spans="85:85">
      <c r="CG480" t="s">
        <v>1773</v>
      </c>
    </row>
    <row r="481" spans="85:85">
      <c r="CG481" t="s">
        <v>1774</v>
      </c>
    </row>
    <row r="482" spans="85:85">
      <c r="CG482" t="s">
        <v>1775</v>
      </c>
    </row>
    <row r="483" spans="85:85">
      <c r="CG483" t="s">
        <v>1776</v>
      </c>
    </row>
    <row r="484" spans="85:85">
      <c r="CG484" t="s">
        <v>1777</v>
      </c>
    </row>
    <row r="485" spans="85:85">
      <c r="CG485" t="s">
        <v>1778</v>
      </c>
    </row>
    <row r="486" spans="85:85">
      <c r="CG486" t="s">
        <v>1779</v>
      </c>
    </row>
    <row r="487" spans="85:85">
      <c r="CG487" t="s">
        <v>1780</v>
      </c>
    </row>
    <row r="488" spans="85:85">
      <c r="CG488" t="s">
        <v>1781</v>
      </c>
    </row>
    <row r="489" spans="85:85">
      <c r="CG489" t="s">
        <v>1782</v>
      </c>
    </row>
    <row r="490" spans="85:85">
      <c r="CG490" t="s">
        <v>1783</v>
      </c>
    </row>
    <row r="491" spans="85:85">
      <c r="CG491" t="s">
        <v>1784</v>
      </c>
    </row>
    <row r="492" spans="85:85">
      <c r="CG492" t="s">
        <v>1785</v>
      </c>
    </row>
    <row r="493" spans="85:85">
      <c r="CG493" t="s">
        <v>1786</v>
      </c>
    </row>
    <row r="494" spans="85:85">
      <c r="CG494" t="s">
        <v>1787</v>
      </c>
    </row>
    <row r="495" spans="85:85">
      <c r="CG495" t="s">
        <v>1788</v>
      </c>
    </row>
    <row r="496" spans="85:85">
      <c r="CG496" t="s">
        <v>1789</v>
      </c>
    </row>
    <row r="497" spans="85:85">
      <c r="CG497" t="s">
        <v>1790</v>
      </c>
    </row>
    <row r="498" spans="85:85">
      <c r="CG498" t="s">
        <v>1791</v>
      </c>
    </row>
    <row r="499" spans="85:85">
      <c r="CG499" t="s">
        <v>1792</v>
      </c>
    </row>
    <row r="500" spans="85:85">
      <c r="CG500" t="s">
        <v>1793</v>
      </c>
    </row>
    <row r="501" spans="85:85">
      <c r="CG501" t="s">
        <v>1794</v>
      </c>
    </row>
    <row r="502" spans="85:85">
      <c r="CG502" t="s">
        <v>1795</v>
      </c>
    </row>
    <row r="503" spans="85:85">
      <c r="CG503" t="s">
        <v>1796</v>
      </c>
    </row>
    <row r="504" spans="85:85">
      <c r="CG504" t="s">
        <v>1797</v>
      </c>
    </row>
    <row r="505" spans="85:85">
      <c r="CG505" t="s">
        <v>1798</v>
      </c>
    </row>
    <row r="506" spans="85:85">
      <c r="CG506" t="s">
        <v>1799</v>
      </c>
    </row>
    <row r="507" spans="85:85">
      <c r="CG507" t="s">
        <v>1800</v>
      </c>
    </row>
    <row r="508" spans="85:85">
      <c r="CG508" t="s">
        <v>1801</v>
      </c>
    </row>
    <row r="509" spans="85:85">
      <c r="CG509" t="s">
        <v>1802</v>
      </c>
    </row>
    <row r="510" spans="85:85">
      <c r="CG510" t="s">
        <v>1803</v>
      </c>
    </row>
    <row r="511" spans="85:85">
      <c r="CG511" t="s">
        <v>1804</v>
      </c>
    </row>
    <row r="512" spans="85:85">
      <c r="CG512" t="s">
        <v>1805</v>
      </c>
    </row>
    <row r="513" spans="85:85">
      <c r="CG513" t="s">
        <v>1806</v>
      </c>
    </row>
    <row r="514" spans="85:85">
      <c r="CG514" t="s">
        <v>1807</v>
      </c>
    </row>
    <row r="515" spans="85:85">
      <c r="CG515" t="s">
        <v>1808</v>
      </c>
    </row>
    <row r="516" spans="85:85">
      <c r="CG516" t="s">
        <v>1809</v>
      </c>
    </row>
    <row r="517" spans="85:85">
      <c r="CG517" t="s">
        <v>1810</v>
      </c>
    </row>
    <row r="518" spans="85:85">
      <c r="CG518" t="s">
        <v>1811</v>
      </c>
    </row>
    <row r="519" spans="85:85">
      <c r="CG519" t="s">
        <v>1812</v>
      </c>
    </row>
    <row r="520" spans="85:85">
      <c r="CG520" t="s">
        <v>1813</v>
      </c>
    </row>
    <row r="521" spans="85:85">
      <c r="CG521" t="s">
        <v>1814</v>
      </c>
    </row>
    <row r="522" spans="85:85">
      <c r="CG522" t="s">
        <v>1815</v>
      </c>
    </row>
    <row r="523" spans="85:85">
      <c r="CG523" t="s">
        <v>1816</v>
      </c>
    </row>
    <row r="524" spans="85:85">
      <c r="CG524" t="s">
        <v>1817</v>
      </c>
    </row>
    <row r="525" spans="85:85">
      <c r="CG525" t="s">
        <v>1818</v>
      </c>
    </row>
    <row r="526" spans="85:85">
      <c r="CG526" t="s">
        <v>1819</v>
      </c>
    </row>
    <row r="527" spans="85:85">
      <c r="CG527" t="s">
        <v>1820</v>
      </c>
    </row>
    <row r="528" spans="85:85">
      <c r="CG528" t="s">
        <v>1821</v>
      </c>
    </row>
    <row r="529" spans="85:85">
      <c r="CG529" t="s">
        <v>1822</v>
      </c>
    </row>
    <row r="530" spans="85:85">
      <c r="CG530" t="s">
        <v>1823</v>
      </c>
    </row>
    <row r="531" spans="85:85">
      <c r="CG531" t="s">
        <v>1824</v>
      </c>
    </row>
    <row r="532" spans="85:85">
      <c r="CG532" t="s">
        <v>1825</v>
      </c>
    </row>
    <row r="533" spans="85:85">
      <c r="CG533" t="s">
        <v>1826</v>
      </c>
    </row>
    <row r="534" spans="85:85">
      <c r="CG534" t="s">
        <v>1827</v>
      </c>
    </row>
    <row r="535" spans="85:85">
      <c r="CG535" t="s">
        <v>1828</v>
      </c>
    </row>
    <row r="536" spans="85:85">
      <c r="CG536" t="s">
        <v>1829</v>
      </c>
    </row>
    <row r="537" spans="85:85">
      <c r="CG537" t="s">
        <v>1830</v>
      </c>
    </row>
    <row r="538" spans="85:85">
      <c r="CG538" t="s">
        <v>1831</v>
      </c>
    </row>
    <row r="539" spans="85:85">
      <c r="CG539" t="s">
        <v>1832</v>
      </c>
    </row>
    <row r="540" spans="85:85">
      <c r="CG540" t="s">
        <v>1833</v>
      </c>
    </row>
    <row r="541" spans="85:85">
      <c r="CG541" t="s">
        <v>1834</v>
      </c>
    </row>
    <row r="542" spans="85:85">
      <c r="CG542" t="s">
        <v>1835</v>
      </c>
    </row>
    <row r="543" spans="85:85">
      <c r="CG543" t="s">
        <v>1836</v>
      </c>
    </row>
    <row r="544" spans="85:85">
      <c r="CG544" t="s">
        <v>1837</v>
      </c>
    </row>
    <row r="545" spans="85:85">
      <c r="CG545" t="s">
        <v>1838</v>
      </c>
    </row>
    <row r="546" spans="85:85">
      <c r="CG546" t="s">
        <v>1839</v>
      </c>
    </row>
    <row r="547" spans="85:85">
      <c r="CG547" t="s">
        <v>1840</v>
      </c>
    </row>
    <row r="548" spans="85:85">
      <c r="CG548" t="s">
        <v>1841</v>
      </c>
    </row>
    <row r="549" spans="85:85">
      <c r="CG549" t="s">
        <v>1842</v>
      </c>
    </row>
    <row r="550" spans="85:85">
      <c r="CG550" t="s">
        <v>1843</v>
      </c>
    </row>
    <row r="551" spans="85:85">
      <c r="CG551" t="s">
        <v>1844</v>
      </c>
    </row>
    <row r="552" spans="85:85">
      <c r="CG552" t="s">
        <v>1845</v>
      </c>
    </row>
    <row r="553" spans="85:85">
      <c r="CG553" t="s">
        <v>1846</v>
      </c>
    </row>
    <row r="554" spans="85:85">
      <c r="CG554" t="s">
        <v>1847</v>
      </c>
    </row>
    <row r="555" spans="85:85">
      <c r="CG555" t="s">
        <v>1848</v>
      </c>
    </row>
    <row r="556" spans="85:85">
      <c r="CG556" t="s">
        <v>1849</v>
      </c>
    </row>
    <row r="557" spans="85:85">
      <c r="CG557" t="s">
        <v>1850</v>
      </c>
    </row>
    <row r="558" spans="85:85">
      <c r="CG558" t="s">
        <v>1851</v>
      </c>
    </row>
    <row r="559" spans="85:85">
      <c r="CG559" t="s">
        <v>1852</v>
      </c>
    </row>
    <row r="560" spans="85:85">
      <c r="CG560" t="s">
        <v>1853</v>
      </c>
    </row>
    <row r="561" spans="85:85">
      <c r="CG561" t="s">
        <v>1854</v>
      </c>
    </row>
    <row r="562" spans="85:85">
      <c r="CG562" t="s">
        <v>1855</v>
      </c>
    </row>
    <row r="563" spans="85:85">
      <c r="CG563" t="s">
        <v>1856</v>
      </c>
    </row>
    <row r="564" spans="85:85">
      <c r="CG564" t="s">
        <v>1857</v>
      </c>
    </row>
    <row r="565" spans="85:85">
      <c r="CG565" t="s">
        <v>1858</v>
      </c>
    </row>
    <row r="566" spans="85:85">
      <c r="CG566" t="s">
        <v>1859</v>
      </c>
    </row>
    <row r="567" spans="85:85">
      <c r="CG567" t="s">
        <v>1860</v>
      </c>
    </row>
    <row r="568" spans="85:85">
      <c r="CG568" t="s">
        <v>1861</v>
      </c>
    </row>
    <row r="569" spans="85:85">
      <c r="CG569" t="s">
        <v>1862</v>
      </c>
    </row>
    <row r="570" spans="85:85">
      <c r="CG570" t="s">
        <v>1863</v>
      </c>
    </row>
    <row r="571" spans="85:85">
      <c r="CG571" t="s">
        <v>1864</v>
      </c>
    </row>
    <row r="572" spans="85:85">
      <c r="CG572" t="s">
        <v>1865</v>
      </c>
    </row>
    <row r="573" spans="85:85">
      <c r="CG573" t="s">
        <v>1866</v>
      </c>
    </row>
    <row r="574" spans="85:85">
      <c r="CG574" t="s">
        <v>1867</v>
      </c>
    </row>
    <row r="575" spans="85:85">
      <c r="CG575" t="s">
        <v>1868</v>
      </c>
    </row>
    <row r="576" spans="85:85">
      <c r="CG576" t="s">
        <v>1869</v>
      </c>
    </row>
    <row r="577" spans="85:85">
      <c r="CG577" t="s">
        <v>1870</v>
      </c>
    </row>
    <row r="578" spans="85:85">
      <c r="CG578" t="s">
        <v>1871</v>
      </c>
    </row>
    <row r="579" spans="85:85">
      <c r="CG579" t="s">
        <v>1872</v>
      </c>
    </row>
    <row r="580" spans="85:85">
      <c r="CG580" t="s">
        <v>1873</v>
      </c>
    </row>
    <row r="581" spans="85:85">
      <c r="CG581" t="s">
        <v>1874</v>
      </c>
    </row>
    <row r="582" spans="85:85">
      <c r="CG582" t="s">
        <v>1875</v>
      </c>
    </row>
    <row r="583" spans="85:85">
      <c r="CG583" t="s">
        <v>1876</v>
      </c>
    </row>
    <row r="584" spans="85:85">
      <c r="CG584" t="s">
        <v>1877</v>
      </c>
    </row>
    <row r="585" spans="85:85">
      <c r="CG585" t="s">
        <v>1878</v>
      </c>
    </row>
    <row r="586" spans="85:85">
      <c r="CG586" t="s">
        <v>1879</v>
      </c>
    </row>
    <row r="587" spans="85:85">
      <c r="CG587" t="s">
        <v>1880</v>
      </c>
    </row>
    <row r="588" spans="85:85">
      <c r="CG588" t="s">
        <v>1881</v>
      </c>
    </row>
    <row r="589" spans="85:85">
      <c r="CG589" t="s">
        <v>1882</v>
      </c>
    </row>
    <row r="590" spans="85:85">
      <c r="CG590" t="s">
        <v>1883</v>
      </c>
    </row>
    <row r="591" spans="85:85">
      <c r="CG591" t="s">
        <v>1884</v>
      </c>
    </row>
    <row r="592" spans="85:85">
      <c r="CG592" t="s">
        <v>1885</v>
      </c>
    </row>
    <row r="593" spans="85:85">
      <c r="CG593" t="s">
        <v>1886</v>
      </c>
    </row>
    <row r="594" spans="85:85">
      <c r="CG594" t="s">
        <v>1887</v>
      </c>
    </row>
    <row r="595" spans="85:85">
      <c r="CG595" t="s">
        <v>1888</v>
      </c>
    </row>
    <row r="596" spans="85:85">
      <c r="CG596" t="s">
        <v>1889</v>
      </c>
    </row>
    <row r="597" spans="85:85">
      <c r="CG597" t="s">
        <v>1890</v>
      </c>
    </row>
    <row r="598" spans="85:85">
      <c r="CG598" t="s">
        <v>1891</v>
      </c>
    </row>
    <row r="599" spans="85:85">
      <c r="CG599" t="s">
        <v>1892</v>
      </c>
    </row>
    <row r="600" spans="85:85">
      <c r="CG600" t="s">
        <v>1893</v>
      </c>
    </row>
    <row r="601" spans="85:85">
      <c r="CG601" t="s">
        <v>1894</v>
      </c>
    </row>
    <row r="602" spans="85:85">
      <c r="CG602" t="s">
        <v>1895</v>
      </c>
    </row>
    <row r="603" spans="85:85">
      <c r="CG603" t="s">
        <v>1896</v>
      </c>
    </row>
    <row r="604" spans="85:85">
      <c r="CG604" t="s">
        <v>1897</v>
      </c>
    </row>
    <row r="605" spans="85:85">
      <c r="CG605" t="s">
        <v>1898</v>
      </c>
    </row>
    <row r="606" spans="85:85">
      <c r="CG606" t="s">
        <v>1899</v>
      </c>
    </row>
    <row r="607" spans="85:85">
      <c r="CG607" t="s">
        <v>1900</v>
      </c>
    </row>
    <row r="608" spans="85:85">
      <c r="CG608" t="s">
        <v>1901</v>
      </c>
    </row>
    <row r="609" spans="85:85">
      <c r="CG609" t="s">
        <v>1902</v>
      </c>
    </row>
    <row r="610" spans="85:85">
      <c r="CG610" t="s">
        <v>1903</v>
      </c>
    </row>
    <row r="611" spans="85:85">
      <c r="CG611" t="s">
        <v>1904</v>
      </c>
    </row>
    <row r="612" spans="85:85">
      <c r="CG612" t="s">
        <v>1905</v>
      </c>
    </row>
    <row r="613" spans="85:85">
      <c r="CG613" t="s">
        <v>1906</v>
      </c>
    </row>
    <row r="614" spans="85:85">
      <c r="CG614" t="s">
        <v>1907</v>
      </c>
    </row>
    <row r="615" spans="85:85">
      <c r="CG615" t="s">
        <v>1908</v>
      </c>
    </row>
    <row r="616" spans="85:85">
      <c r="CG616" t="s">
        <v>1909</v>
      </c>
    </row>
    <row r="617" spans="85:85">
      <c r="CG617" t="s">
        <v>1910</v>
      </c>
    </row>
    <row r="618" spans="85:85">
      <c r="CG618" t="s">
        <v>1911</v>
      </c>
    </row>
    <row r="619" spans="85:85">
      <c r="CG619" t="s">
        <v>1912</v>
      </c>
    </row>
    <row r="620" spans="85:85">
      <c r="CG620" t="s">
        <v>1913</v>
      </c>
    </row>
    <row r="621" spans="85:85">
      <c r="CG621" t="s">
        <v>1914</v>
      </c>
    </row>
    <row r="622" spans="85:85">
      <c r="CG622" t="s">
        <v>1915</v>
      </c>
    </row>
    <row r="623" spans="85:85">
      <c r="CG623" t="s">
        <v>1916</v>
      </c>
    </row>
    <row r="624" spans="85:85">
      <c r="CG624" t="s">
        <v>1917</v>
      </c>
    </row>
    <row r="625" spans="85:85">
      <c r="CG625" t="s">
        <v>1918</v>
      </c>
    </row>
    <row r="626" spans="85:85">
      <c r="CG626" t="s">
        <v>1919</v>
      </c>
    </row>
    <row r="627" spans="85:85">
      <c r="CG627" t="s">
        <v>1920</v>
      </c>
    </row>
    <row r="628" spans="85:85">
      <c r="CG628" t="s">
        <v>1921</v>
      </c>
    </row>
    <row r="629" spans="85:85">
      <c r="CG629" t="s">
        <v>1922</v>
      </c>
    </row>
    <row r="630" spans="85:85">
      <c r="CG630" t="s">
        <v>1923</v>
      </c>
    </row>
    <row r="631" spans="85:85">
      <c r="CG631" t="s">
        <v>1924</v>
      </c>
    </row>
    <row r="632" spans="85:85">
      <c r="CG632" t="s">
        <v>1925</v>
      </c>
    </row>
    <row r="633" spans="85:85">
      <c r="CG633" t="s">
        <v>1926</v>
      </c>
    </row>
    <row r="634" spans="85:85">
      <c r="CG634" t="s">
        <v>1927</v>
      </c>
    </row>
    <row r="635" spans="85:85">
      <c r="CG635" t="s">
        <v>1928</v>
      </c>
    </row>
    <row r="636" spans="85:85">
      <c r="CG636" t="s">
        <v>1929</v>
      </c>
    </row>
    <row r="637" spans="85:85">
      <c r="CG637" t="s">
        <v>1930</v>
      </c>
    </row>
    <row r="638" spans="85:85">
      <c r="CG638" t="s">
        <v>1931</v>
      </c>
    </row>
    <row r="639" spans="85:85">
      <c r="CG639" t="s">
        <v>1932</v>
      </c>
    </row>
    <row r="640" spans="85:85">
      <c r="CG640" t="s">
        <v>1933</v>
      </c>
    </row>
    <row r="641" spans="85:85">
      <c r="CG641" t="s">
        <v>1934</v>
      </c>
    </row>
    <row r="642" spans="85:85">
      <c r="CG642" t="s">
        <v>1935</v>
      </c>
    </row>
    <row r="643" spans="85:85">
      <c r="CG643" t="s">
        <v>1936</v>
      </c>
    </row>
    <row r="644" spans="85:85">
      <c r="CG644" t="s">
        <v>1937</v>
      </c>
    </row>
    <row r="645" spans="85:85">
      <c r="CG645" t="s">
        <v>1938</v>
      </c>
    </row>
    <row r="646" spans="85:85">
      <c r="CG646" t="s">
        <v>1939</v>
      </c>
    </row>
    <row r="647" spans="85:85">
      <c r="CG647" t="s">
        <v>1940</v>
      </c>
    </row>
    <row r="648" spans="85:85">
      <c r="CG648" t="s">
        <v>1941</v>
      </c>
    </row>
    <row r="649" spans="85:85">
      <c r="CG649" t="s">
        <v>1942</v>
      </c>
    </row>
    <row r="650" spans="85:85">
      <c r="CG650" t="s">
        <v>1943</v>
      </c>
    </row>
    <row r="651" spans="85:85">
      <c r="CG651" t="s">
        <v>1944</v>
      </c>
    </row>
    <row r="652" spans="85:85">
      <c r="CG652" t="s">
        <v>1945</v>
      </c>
    </row>
    <row r="653" spans="85:85">
      <c r="CG653" t="s">
        <v>1946</v>
      </c>
    </row>
    <row r="654" spans="85:85">
      <c r="CG654" t="s">
        <v>1947</v>
      </c>
    </row>
    <row r="655" spans="85:85">
      <c r="CG655" t="s">
        <v>1948</v>
      </c>
    </row>
    <row r="656" spans="85:85">
      <c r="CG656" t="s">
        <v>1949</v>
      </c>
    </row>
    <row r="657" spans="85:85">
      <c r="CG657" t="s">
        <v>1950</v>
      </c>
    </row>
    <row r="658" spans="85:85">
      <c r="CG658" t="s">
        <v>1951</v>
      </c>
    </row>
    <row r="659" spans="85:85">
      <c r="CG659" t="s">
        <v>1952</v>
      </c>
    </row>
    <row r="660" spans="85:85">
      <c r="CG660" t="s">
        <v>1953</v>
      </c>
    </row>
    <row r="661" spans="85:85">
      <c r="CG661" t="s">
        <v>1954</v>
      </c>
    </row>
    <row r="662" spans="85:85">
      <c r="CG662" t="s">
        <v>1955</v>
      </c>
    </row>
    <row r="663" spans="85:85">
      <c r="CG663" t="s">
        <v>1956</v>
      </c>
    </row>
    <row r="664" spans="85:85">
      <c r="CG664" t="s">
        <v>1957</v>
      </c>
    </row>
    <row r="665" spans="85:85">
      <c r="CG665" t="s">
        <v>1958</v>
      </c>
    </row>
    <row r="666" spans="85:85">
      <c r="CG666" t="s">
        <v>1959</v>
      </c>
    </row>
    <row r="667" spans="85:85">
      <c r="CG667" t="s">
        <v>1960</v>
      </c>
    </row>
    <row r="668" spans="85:85">
      <c r="CG668" t="s">
        <v>1961</v>
      </c>
    </row>
    <row r="669" spans="85:85">
      <c r="CG669" t="s">
        <v>1962</v>
      </c>
    </row>
    <row r="670" spans="85:85">
      <c r="CG670" t="s">
        <v>1963</v>
      </c>
    </row>
    <row r="671" spans="85:85">
      <c r="CG671" t="s">
        <v>1964</v>
      </c>
    </row>
    <row r="672" spans="85:85">
      <c r="CG672" t="s">
        <v>1965</v>
      </c>
    </row>
    <row r="673" spans="85:85">
      <c r="CG673" t="s">
        <v>1966</v>
      </c>
    </row>
    <row r="674" spans="85:85">
      <c r="CG674" t="s">
        <v>1967</v>
      </c>
    </row>
    <row r="675" spans="85:85">
      <c r="CG675" t="s">
        <v>1968</v>
      </c>
    </row>
    <row r="676" spans="85:85">
      <c r="CG676" t="s">
        <v>1969</v>
      </c>
    </row>
    <row r="677" spans="85:85">
      <c r="CG677" t="s">
        <v>1970</v>
      </c>
    </row>
    <row r="678" spans="85:85">
      <c r="CG678" t="s">
        <v>1971</v>
      </c>
    </row>
    <row r="679" spans="85:85">
      <c r="CG679" t="s">
        <v>1972</v>
      </c>
    </row>
    <row r="680" spans="85:85">
      <c r="CG680" t="s">
        <v>1973</v>
      </c>
    </row>
    <row r="681" spans="85:85">
      <c r="CG681" t="s">
        <v>1974</v>
      </c>
    </row>
    <row r="682" spans="85:85">
      <c r="CG682" t="s">
        <v>1975</v>
      </c>
    </row>
    <row r="683" spans="85:85">
      <c r="CG683" t="s">
        <v>1976</v>
      </c>
    </row>
    <row r="684" spans="85:85">
      <c r="CG684" t="s">
        <v>1977</v>
      </c>
    </row>
    <row r="685" spans="85:85">
      <c r="CG685" t="s">
        <v>1978</v>
      </c>
    </row>
    <row r="686" spans="85:85">
      <c r="CG686" t="s">
        <v>1979</v>
      </c>
    </row>
    <row r="687" spans="85:85">
      <c r="CG687" t="s">
        <v>1980</v>
      </c>
    </row>
    <row r="688" spans="85:85">
      <c r="CG688" t="s">
        <v>1981</v>
      </c>
    </row>
    <row r="689" spans="85:85">
      <c r="CG689" t="s">
        <v>1982</v>
      </c>
    </row>
    <row r="690" spans="85:85">
      <c r="CG690" t="s">
        <v>1983</v>
      </c>
    </row>
    <row r="691" spans="85:85">
      <c r="CG691" t="s">
        <v>1984</v>
      </c>
    </row>
    <row r="692" spans="85:85">
      <c r="CG692" t="s">
        <v>1985</v>
      </c>
    </row>
    <row r="693" spans="85:85">
      <c r="CG693" t="s">
        <v>1986</v>
      </c>
    </row>
    <row r="694" spans="85:85">
      <c r="CG694" t="s">
        <v>1987</v>
      </c>
    </row>
    <row r="695" spans="85:85">
      <c r="CG695" t="s">
        <v>1988</v>
      </c>
    </row>
    <row r="696" spans="85:85">
      <c r="CG696" t="s">
        <v>1989</v>
      </c>
    </row>
    <row r="697" spans="85:85">
      <c r="CG697" t="s">
        <v>1990</v>
      </c>
    </row>
    <row r="698" spans="85:85">
      <c r="CG698" t="s">
        <v>1991</v>
      </c>
    </row>
    <row r="699" spans="85:85">
      <c r="CG699" t="s">
        <v>1992</v>
      </c>
    </row>
    <row r="700" spans="85:85">
      <c r="CG700" t="s">
        <v>1993</v>
      </c>
    </row>
    <row r="701" spans="85:85">
      <c r="CG701" t="s">
        <v>1994</v>
      </c>
    </row>
    <row r="702" spans="85:85">
      <c r="CG702" t="s">
        <v>1995</v>
      </c>
    </row>
    <row r="703" spans="85:85">
      <c r="CG703" t="s">
        <v>1996</v>
      </c>
    </row>
    <row r="704" spans="85:85">
      <c r="CG704" t="s">
        <v>1997</v>
      </c>
    </row>
    <row r="705" spans="85:85">
      <c r="CG705" t="s">
        <v>1998</v>
      </c>
    </row>
    <row r="706" spans="85:85">
      <c r="CG706" t="s">
        <v>1999</v>
      </c>
    </row>
    <row r="707" spans="85:85">
      <c r="CG707" t="s">
        <v>2000</v>
      </c>
    </row>
    <row r="708" spans="85:85">
      <c r="CG708" t="s">
        <v>2001</v>
      </c>
    </row>
    <row r="709" spans="85:85">
      <c r="CG709" t="s">
        <v>2002</v>
      </c>
    </row>
    <row r="710" spans="85:85">
      <c r="CG710" t="s">
        <v>2003</v>
      </c>
    </row>
    <row r="711" spans="85:85">
      <c r="CG711" t="s">
        <v>2004</v>
      </c>
    </row>
    <row r="712" spans="85:85">
      <c r="CG712" t="s">
        <v>2005</v>
      </c>
    </row>
    <row r="713" spans="85:85">
      <c r="CG713" t="s">
        <v>2006</v>
      </c>
    </row>
    <row r="714" spans="85:85">
      <c r="CG714" t="s">
        <v>2007</v>
      </c>
    </row>
    <row r="715" spans="85:85">
      <c r="CG715" t="s">
        <v>2008</v>
      </c>
    </row>
    <row r="716" spans="85:85">
      <c r="CG716" t="s">
        <v>2009</v>
      </c>
    </row>
    <row r="717" spans="85:85">
      <c r="CG717" t="s">
        <v>2010</v>
      </c>
    </row>
    <row r="718" spans="85:85">
      <c r="CG718" t="s">
        <v>2011</v>
      </c>
    </row>
    <row r="719" spans="85:85">
      <c r="CG719" t="s">
        <v>2012</v>
      </c>
    </row>
    <row r="720" spans="85:85">
      <c r="CG720" t="s">
        <v>2013</v>
      </c>
    </row>
    <row r="721" spans="85:85">
      <c r="CG721" t="s">
        <v>2014</v>
      </c>
    </row>
    <row r="722" spans="85:85">
      <c r="CG722" t="s">
        <v>2015</v>
      </c>
    </row>
    <row r="723" spans="85:85">
      <c r="CG723" t="s">
        <v>2016</v>
      </c>
    </row>
    <row r="724" spans="85:85">
      <c r="CG724" t="s">
        <v>2017</v>
      </c>
    </row>
    <row r="725" spans="85:85">
      <c r="CG725" t="s">
        <v>2018</v>
      </c>
    </row>
    <row r="726" spans="85:85">
      <c r="CG726" t="s">
        <v>2019</v>
      </c>
    </row>
    <row r="727" spans="85:85">
      <c r="CG727" t="s">
        <v>2020</v>
      </c>
    </row>
    <row r="728" spans="85:85">
      <c r="CG728" t="s">
        <v>2021</v>
      </c>
    </row>
    <row r="729" spans="85:85">
      <c r="CG729" t="s">
        <v>2022</v>
      </c>
    </row>
    <row r="730" spans="85:85">
      <c r="CG730" t="s">
        <v>2023</v>
      </c>
    </row>
    <row r="731" spans="85:85">
      <c r="CG731" t="s">
        <v>2024</v>
      </c>
    </row>
    <row r="732" spans="85:85">
      <c r="CG732" t="s">
        <v>2025</v>
      </c>
    </row>
    <row r="733" spans="85:85">
      <c r="CG733" t="s">
        <v>2026</v>
      </c>
    </row>
    <row r="734" spans="85:85">
      <c r="CG734" t="s">
        <v>2027</v>
      </c>
    </row>
    <row r="735" spans="85:85">
      <c r="CG735" t="s">
        <v>2028</v>
      </c>
    </row>
    <row r="736" spans="85:85">
      <c r="CG736" t="s">
        <v>2029</v>
      </c>
    </row>
    <row r="737" spans="85:85">
      <c r="CG737" t="s">
        <v>2030</v>
      </c>
    </row>
    <row r="738" spans="85:85">
      <c r="CG738" t="s">
        <v>2031</v>
      </c>
    </row>
    <row r="739" spans="85:85">
      <c r="CG739" t="s">
        <v>2032</v>
      </c>
    </row>
    <row r="740" spans="85:85">
      <c r="CG740" t="s">
        <v>2033</v>
      </c>
    </row>
    <row r="741" spans="85:85">
      <c r="CG741" t="s">
        <v>2034</v>
      </c>
    </row>
    <row r="742" spans="85:85">
      <c r="CG742" t="s">
        <v>2035</v>
      </c>
    </row>
    <row r="743" spans="85:85">
      <c r="CG743" t="s">
        <v>2036</v>
      </c>
    </row>
    <row r="744" spans="85:85">
      <c r="CG744" t="s">
        <v>2037</v>
      </c>
    </row>
    <row r="745" spans="85:85">
      <c r="CG745" t="s">
        <v>2038</v>
      </c>
    </row>
    <row r="746" spans="85:85">
      <c r="CG746" t="s">
        <v>2039</v>
      </c>
    </row>
    <row r="747" spans="85:85">
      <c r="CG747" t="s">
        <v>2040</v>
      </c>
    </row>
    <row r="748" spans="85:85">
      <c r="CG748" t="s">
        <v>2041</v>
      </c>
    </row>
    <row r="749" spans="85:85">
      <c r="CG749" t="s">
        <v>2042</v>
      </c>
    </row>
    <row r="750" spans="85:85">
      <c r="CG750" t="s">
        <v>2043</v>
      </c>
    </row>
    <row r="751" spans="85:85">
      <c r="CG751" t="s">
        <v>2044</v>
      </c>
    </row>
    <row r="752" spans="85:85">
      <c r="CG752" t="s">
        <v>2045</v>
      </c>
    </row>
    <row r="753" spans="85:85">
      <c r="CG753" t="s">
        <v>2046</v>
      </c>
    </row>
    <row r="754" spans="85:85">
      <c r="CG754" t="s">
        <v>2047</v>
      </c>
    </row>
    <row r="755" spans="85:85">
      <c r="CG755" t="s">
        <v>2048</v>
      </c>
    </row>
    <row r="756" spans="85:85">
      <c r="CG756" t="s">
        <v>2049</v>
      </c>
    </row>
    <row r="757" spans="85:85">
      <c r="CG757" t="s">
        <v>2050</v>
      </c>
    </row>
    <row r="758" spans="85:85">
      <c r="CG758" t="s">
        <v>2051</v>
      </c>
    </row>
    <row r="759" spans="85:85">
      <c r="CG759" t="s">
        <v>2052</v>
      </c>
    </row>
    <row r="760" spans="85:85">
      <c r="CG760" t="s">
        <v>2053</v>
      </c>
    </row>
    <row r="761" spans="85:85">
      <c r="CG761" t="s">
        <v>2054</v>
      </c>
    </row>
    <row r="762" spans="85:85">
      <c r="CG762" t="s">
        <v>2055</v>
      </c>
    </row>
    <row r="763" spans="85:85">
      <c r="CG763" t="s">
        <v>2056</v>
      </c>
    </row>
    <row r="764" spans="85:85">
      <c r="CG764" t="s">
        <v>2057</v>
      </c>
    </row>
    <row r="765" spans="85:85">
      <c r="CG765" t="s">
        <v>2058</v>
      </c>
    </row>
    <row r="766" spans="85:85">
      <c r="CG766" t="s">
        <v>2059</v>
      </c>
    </row>
    <row r="767" spans="85:85">
      <c r="CG767" t="s">
        <v>2060</v>
      </c>
    </row>
    <row r="768" spans="85:85">
      <c r="CG768" t="s">
        <v>2061</v>
      </c>
    </row>
    <row r="769" spans="85:85">
      <c r="CG769" t="s">
        <v>2062</v>
      </c>
    </row>
    <row r="770" spans="85:85">
      <c r="CG770" t="s">
        <v>2063</v>
      </c>
    </row>
    <row r="771" spans="85:85">
      <c r="CG771" t="s">
        <v>2064</v>
      </c>
    </row>
    <row r="772" spans="85:85">
      <c r="CG772" t="s">
        <v>2065</v>
      </c>
    </row>
    <row r="773" spans="85:85">
      <c r="CG773" t="s">
        <v>2066</v>
      </c>
    </row>
    <row r="774" spans="85:85">
      <c r="CG774" t="s">
        <v>2067</v>
      </c>
    </row>
    <row r="775" spans="85:85">
      <c r="CG775" t="s">
        <v>2068</v>
      </c>
    </row>
    <row r="776" spans="85:85">
      <c r="CG776" t="s">
        <v>2069</v>
      </c>
    </row>
    <row r="777" spans="85:85">
      <c r="CG777" t="s">
        <v>2070</v>
      </c>
    </row>
    <row r="778" spans="85:85">
      <c r="CG778" t="s">
        <v>2071</v>
      </c>
    </row>
    <row r="779" spans="85:85">
      <c r="CG779" t="s">
        <v>2072</v>
      </c>
    </row>
    <row r="780" spans="85:85">
      <c r="CG780" t="s">
        <v>2073</v>
      </c>
    </row>
    <row r="781" spans="85:85">
      <c r="CG781" t="s">
        <v>2074</v>
      </c>
    </row>
    <row r="782" spans="85:85">
      <c r="CG782" t="s">
        <v>2075</v>
      </c>
    </row>
    <row r="783" spans="85:85">
      <c r="CG783" t="s">
        <v>2076</v>
      </c>
    </row>
    <row r="784" spans="85:85">
      <c r="CG784" t="s">
        <v>2077</v>
      </c>
    </row>
    <row r="785" spans="85:85">
      <c r="CG785" t="s">
        <v>2078</v>
      </c>
    </row>
    <row r="786" spans="85:85">
      <c r="CG786" t="s">
        <v>2079</v>
      </c>
    </row>
    <row r="787" spans="85:85">
      <c r="CG787" t="s">
        <v>2080</v>
      </c>
    </row>
    <row r="788" spans="85:85">
      <c r="CG788" t="s">
        <v>2081</v>
      </c>
    </row>
    <row r="789" spans="85:85">
      <c r="CG789" t="s">
        <v>2082</v>
      </c>
    </row>
    <row r="790" spans="85:85">
      <c r="CG790" t="s">
        <v>2083</v>
      </c>
    </row>
    <row r="791" spans="85:85">
      <c r="CG791" t="s">
        <v>2084</v>
      </c>
    </row>
    <row r="792" spans="85:85">
      <c r="CG792" t="s">
        <v>2085</v>
      </c>
    </row>
    <row r="793" spans="85:85">
      <c r="CG793" t="s">
        <v>2086</v>
      </c>
    </row>
    <row r="794" spans="85:85">
      <c r="CG794" t="s">
        <v>2087</v>
      </c>
    </row>
    <row r="795" spans="85:85">
      <c r="CG795" t="s">
        <v>2088</v>
      </c>
    </row>
    <row r="796" spans="85:85">
      <c r="CG796" t="s">
        <v>2089</v>
      </c>
    </row>
    <row r="797" spans="85:85">
      <c r="CG797" t="s">
        <v>2090</v>
      </c>
    </row>
    <row r="798" spans="85:85">
      <c r="CG798" t="s">
        <v>2091</v>
      </c>
    </row>
    <row r="799" spans="85:85">
      <c r="CG799" t="s">
        <v>2092</v>
      </c>
    </row>
    <row r="800" spans="85:85">
      <c r="CG800" t="s">
        <v>2093</v>
      </c>
    </row>
    <row r="801" spans="85:85">
      <c r="CG801" t="s">
        <v>2094</v>
      </c>
    </row>
    <row r="802" spans="85:85">
      <c r="CG802" t="s">
        <v>2095</v>
      </c>
    </row>
    <row r="803" spans="85:85">
      <c r="CG803" t="s">
        <v>2096</v>
      </c>
    </row>
    <row r="804" spans="85:85">
      <c r="CG804" t="s">
        <v>2097</v>
      </c>
    </row>
    <row r="805" spans="85:85">
      <c r="CG805" t="s">
        <v>2098</v>
      </c>
    </row>
    <row r="806" spans="85:85">
      <c r="CG806" t="s">
        <v>2099</v>
      </c>
    </row>
    <row r="807" spans="85:85">
      <c r="CG807" t="s">
        <v>2100</v>
      </c>
    </row>
    <row r="808" spans="85:85">
      <c r="CG808" t="s">
        <v>2101</v>
      </c>
    </row>
    <row r="809" spans="85:85">
      <c r="CG809" t="s">
        <v>2102</v>
      </c>
    </row>
    <row r="810" spans="85:85">
      <c r="CG810" t="s">
        <v>2103</v>
      </c>
    </row>
    <row r="811" spans="85:85">
      <c r="CG811" t="s">
        <v>2104</v>
      </c>
    </row>
    <row r="812" spans="85:85">
      <c r="CG812" t="s">
        <v>2105</v>
      </c>
    </row>
    <row r="813" spans="85:85">
      <c r="CG813" t="s">
        <v>2106</v>
      </c>
    </row>
    <row r="814" spans="85:85">
      <c r="CG814" t="s">
        <v>2107</v>
      </c>
    </row>
    <row r="815" spans="85:85">
      <c r="CG815" t="s">
        <v>2108</v>
      </c>
    </row>
    <row r="816" spans="85:85">
      <c r="CG816" t="s">
        <v>2109</v>
      </c>
    </row>
    <row r="817" spans="85:85">
      <c r="CG817" t="s">
        <v>2110</v>
      </c>
    </row>
    <row r="818" spans="85:85">
      <c r="CG818" t="s">
        <v>2111</v>
      </c>
    </row>
    <row r="819" spans="85:85">
      <c r="CG819" t="s">
        <v>2112</v>
      </c>
    </row>
    <row r="820" spans="85:85">
      <c r="CG820" t="s">
        <v>2113</v>
      </c>
    </row>
    <row r="821" spans="85:85">
      <c r="CG821" t="s">
        <v>2114</v>
      </c>
    </row>
    <row r="822" spans="85:85">
      <c r="CG822" t="s">
        <v>2115</v>
      </c>
    </row>
    <row r="823" spans="85:85">
      <c r="CG823" t="s">
        <v>2116</v>
      </c>
    </row>
    <row r="824" spans="85:85">
      <c r="CG824" t="s">
        <v>2117</v>
      </c>
    </row>
    <row r="825" spans="85:85">
      <c r="CG825" t="s">
        <v>2118</v>
      </c>
    </row>
    <row r="826" spans="85:85">
      <c r="CG826" t="s">
        <v>2119</v>
      </c>
    </row>
    <row r="827" spans="85:85">
      <c r="CG827" t="s">
        <v>2120</v>
      </c>
    </row>
    <row r="828" spans="85:85">
      <c r="CG828" t="s">
        <v>2121</v>
      </c>
    </row>
    <row r="829" spans="85:85">
      <c r="CG829" t="s">
        <v>2122</v>
      </c>
    </row>
    <row r="830" spans="85:85">
      <c r="CG830" t="s">
        <v>2123</v>
      </c>
    </row>
    <row r="831" spans="85:85">
      <c r="CG831" t="s">
        <v>2124</v>
      </c>
    </row>
    <row r="832" spans="85:85">
      <c r="CG832" t="s">
        <v>2125</v>
      </c>
    </row>
    <row r="833" spans="85:85">
      <c r="CG833" t="s">
        <v>2126</v>
      </c>
    </row>
    <row r="834" spans="85:85">
      <c r="CG834" t="s">
        <v>2127</v>
      </c>
    </row>
    <row r="835" spans="85:85">
      <c r="CG835" t="s">
        <v>2128</v>
      </c>
    </row>
    <row r="836" spans="85:85">
      <c r="CG836" t="s">
        <v>2129</v>
      </c>
    </row>
    <row r="837" spans="85:85">
      <c r="CG837" t="s">
        <v>2130</v>
      </c>
    </row>
    <row r="838" spans="85:85">
      <c r="CG838" t="s">
        <v>2131</v>
      </c>
    </row>
    <row r="839" spans="85:85">
      <c r="CG839" t="s">
        <v>2132</v>
      </c>
    </row>
    <row r="840" spans="85:85">
      <c r="CG840" t="s">
        <v>2133</v>
      </c>
    </row>
    <row r="841" spans="85:85">
      <c r="CG841" t="s">
        <v>2134</v>
      </c>
    </row>
    <row r="842" spans="85:85">
      <c r="CG842" t="s">
        <v>2135</v>
      </c>
    </row>
    <row r="843" spans="85:85">
      <c r="CG843" t="s">
        <v>2136</v>
      </c>
    </row>
    <row r="844" spans="85:85">
      <c r="CG844" t="s">
        <v>2137</v>
      </c>
    </row>
    <row r="845" spans="85:85">
      <c r="CG845" t="s">
        <v>2138</v>
      </c>
    </row>
    <row r="846" spans="85:85">
      <c r="CG846" t="s">
        <v>2139</v>
      </c>
    </row>
    <row r="847" spans="85:85">
      <c r="CG847" t="s">
        <v>2140</v>
      </c>
    </row>
    <row r="848" spans="85:85">
      <c r="CG848" t="s">
        <v>2141</v>
      </c>
    </row>
    <row r="849" spans="85:85">
      <c r="CG849" t="s">
        <v>2142</v>
      </c>
    </row>
    <row r="850" spans="85:85">
      <c r="CG850" t="s">
        <v>2143</v>
      </c>
    </row>
    <row r="851" spans="85:85">
      <c r="CG851" t="s">
        <v>2144</v>
      </c>
    </row>
    <row r="852" spans="85:85">
      <c r="CG852" t="s">
        <v>2145</v>
      </c>
    </row>
    <row r="853" spans="85:85">
      <c r="CG853" t="s">
        <v>2146</v>
      </c>
    </row>
    <row r="854" spans="85:85">
      <c r="CG854" t="s">
        <v>2147</v>
      </c>
    </row>
    <row r="855" spans="85:85">
      <c r="CG855" t="s">
        <v>2148</v>
      </c>
    </row>
    <row r="856" spans="85:85">
      <c r="CG856" t="s">
        <v>2149</v>
      </c>
    </row>
    <row r="857" spans="85:85">
      <c r="CG857" t="s">
        <v>2150</v>
      </c>
    </row>
    <row r="858" spans="85:85">
      <c r="CG858" t="s">
        <v>2151</v>
      </c>
    </row>
    <row r="859" spans="85:85">
      <c r="CG859" t="s">
        <v>2152</v>
      </c>
    </row>
    <row r="860" spans="85:85">
      <c r="CG860" t="s">
        <v>2153</v>
      </c>
    </row>
    <row r="861" spans="85:85">
      <c r="CG861" t="s">
        <v>2154</v>
      </c>
    </row>
    <row r="862" spans="85:85">
      <c r="CG862" t="s">
        <v>2155</v>
      </c>
    </row>
    <row r="863" spans="85:85">
      <c r="CG863" t="s">
        <v>2156</v>
      </c>
    </row>
    <row r="864" spans="85:85">
      <c r="CG864" t="s">
        <v>2157</v>
      </c>
    </row>
    <row r="865" spans="85:85">
      <c r="CG865" t="s">
        <v>2158</v>
      </c>
    </row>
    <row r="866" spans="85:85">
      <c r="CG866" t="s">
        <v>2159</v>
      </c>
    </row>
    <row r="867" spans="85:85">
      <c r="CG867" t="s">
        <v>2160</v>
      </c>
    </row>
    <row r="868" spans="85:85">
      <c r="CG868" t="s">
        <v>2161</v>
      </c>
    </row>
    <row r="869" spans="85:85">
      <c r="CG869" t="s">
        <v>2162</v>
      </c>
    </row>
    <row r="870" spans="85:85">
      <c r="CG870" t="s">
        <v>2163</v>
      </c>
    </row>
    <row r="871" spans="85:85">
      <c r="CG871" t="s">
        <v>2164</v>
      </c>
    </row>
    <row r="872" spans="85:85">
      <c r="CG872" t="s">
        <v>2165</v>
      </c>
    </row>
    <row r="873" spans="85:85">
      <c r="CG873" t="s">
        <v>2166</v>
      </c>
    </row>
    <row r="874" spans="85:85">
      <c r="CG874" t="s">
        <v>2167</v>
      </c>
    </row>
    <row r="875" spans="85:85">
      <c r="CG875" t="s">
        <v>2168</v>
      </c>
    </row>
    <row r="876" spans="85:85">
      <c r="CG876" t="s">
        <v>2169</v>
      </c>
    </row>
    <row r="877" spans="85:85">
      <c r="CG877" t="s">
        <v>2170</v>
      </c>
    </row>
    <row r="878" spans="85:85">
      <c r="CG878" t="s">
        <v>2171</v>
      </c>
    </row>
    <row r="879" spans="85:85">
      <c r="CG879" t="s">
        <v>2172</v>
      </c>
    </row>
    <row r="880" spans="85:85">
      <c r="CG880" t="s">
        <v>2173</v>
      </c>
    </row>
    <row r="881" spans="85:85">
      <c r="CG881" t="s">
        <v>2174</v>
      </c>
    </row>
    <row r="882" spans="85:85">
      <c r="CG882" t="s">
        <v>2175</v>
      </c>
    </row>
    <row r="883" spans="85:85">
      <c r="CG883" t="s">
        <v>2176</v>
      </c>
    </row>
    <row r="884" spans="85:85">
      <c r="CG884" t="s">
        <v>2177</v>
      </c>
    </row>
    <row r="885" spans="85:85">
      <c r="CG885" t="s">
        <v>2178</v>
      </c>
    </row>
    <row r="886" spans="85:85">
      <c r="CG886" t="s">
        <v>2179</v>
      </c>
    </row>
    <row r="887" spans="85:85">
      <c r="CG887" t="s">
        <v>2180</v>
      </c>
    </row>
    <row r="888" spans="85:85">
      <c r="CG888" t="s">
        <v>2181</v>
      </c>
    </row>
    <row r="889" spans="85:85">
      <c r="CG889" t="s">
        <v>2182</v>
      </c>
    </row>
    <row r="890" spans="85:85">
      <c r="CG890" t="s">
        <v>2183</v>
      </c>
    </row>
    <row r="891" spans="85:85">
      <c r="CG891" t="s">
        <v>2184</v>
      </c>
    </row>
    <row r="892" spans="85:85">
      <c r="CG892" t="s">
        <v>2185</v>
      </c>
    </row>
    <row r="893" spans="85:85">
      <c r="CG893" t="s">
        <v>2186</v>
      </c>
    </row>
    <row r="894" spans="85:85">
      <c r="CG894" t="s">
        <v>2187</v>
      </c>
    </row>
    <row r="895" spans="85:85">
      <c r="CG895" t="s">
        <v>2188</v>
      </c>
    </row>
    <row r="896" spans="85:85">
      <c r="CG896" t="s">
        <v>2189</v>
      </c>
    </row>
    <row r="897" spans="85:85">
      <c r="CG897" t="s">
        <v>2190</v>
      </c>
    </row>
    <row r="898" spans="85:85">
      <c r="CG898" t="s">
        <v>2191</v>
      </c>
    </row>
    <row r="899" spans="85:85">
      <c r="CG899" t="s">
        <v>2192</v>
      </c>
    </row>
    <row r="900" spans="85:85">
      <c r="CG900" t="s">
        <v>2193</v>
      </c>
    </row>
    <row r="901" spans="85:85">
      <c r="CG901" t="s">
        <v>2194</v>
      </c>
    </row>
    <row r="902" spans="85:85">
      <c r="CG902" t="s">
        <v>2195</v>
      </c>
    </row>
    <row r="903" spans="85:85">
      <c r="CG903" t="s">
        <v>2196</v>
      </c>
    </row>
    <row r="904" spans="85:85">
      <c r="CG904" t="s">
        <v>2197</v>
      </c>
    </row>
    <row r="905" spans="85:85">
      <c r="CG905" t="s">
        <v>2198</v>
      </c>
    </row>
    <row r="906" spans="85:85">
      <c r="CG906" t="s">
        <v>2199</v>
      </c>
    </row>
    <row r="907" spans="85:85">
      <c r="CG907" t="s">
        <v>2200</v>
      </c>
    </row>
    <row r="908" spans="85:85">
      <c r="CG908" t="s">
        <v>2201</v>
      </c>
    </row>
    <row r="909" spans="85:85">
      <c r="CG909" t="s">
        <v>2202</v>
      </c>
    </row>
    <row r="910" spans="85:85">
      <c r="CG910" t="s">
        <v>2203</v>
      </c>
    </row>
    <row r="911" spans="85:85">
      <c r="CG911" t="s">
        <v>2204</v>
      </c>
    </row>
    <row r="912" spans="85:85">
      <c r="CG912" t="s">
        <v>2205</v>
      </c>
    </row>
    <row r="913" spans="85:85">
      <c r="CG913" t="s">
        <v>2206</v>
      </c>
    </row>
    <row r="914" spans="85:85">
      <c r="CG914" t="s">
        <v>2207</v>
      </c>
    </row>
    <row r="915" spans="85:85">
      <c r="CG915" t="s">
        <v>2208</v>
      </c>
    </row>
    <row r="916" spans="85:85">
      <c r="CG916" t="s">
        <v>2209</v>
      </c>
    </row>
    <row r="917" spans="85:85">
      <c r="CG917" t="s">
        <v>2210</v>
      </c>
    </row>
    <row r="918" spans="85:85">
      <c r="CG918" t="s">
        <v>2211</v>
      </c>
    </row>
    <row r="919" spans="85:85">
      <c r="CG919" t="s">
        <v>2212</v>
      </c>
    </row>
    <row r="920" spans="85:85">
      <c r="CG920" t="s">
        <v>2213</v>
      </c>
    </row>
    <row r="921" spans="85:85">
      <c r="CG921" t="s">
        <v>2214</v>
      </c>
    </row>
    <row r="922" spans="85:85">
      <c r="CG922" t="s">
        <v>2215</v>
      </c>
    </row>
    <row r="923" spans="85:85">
      <c r="CG923" t="s">
        <v>2216</v>
      </c>
    </row>
    <row r="924" spans="85:85">
      <c r="CG924" t="s">
        <v>2217</v>
      </c>
    </row>
    <row r="925" spans="85:85">
      <c r="CG925" t="s">
        <v>2218</v>
      </c>
    </row>
    <row r="926" spans="85:85">
      <c r="CG926" t="s">
        <v>2219</v>
      </c>
    </row>
    <row r="927" spans="85:85">
      <c r="CG927" t="s">
        <v>2220</v>
      </c>
    </row>
    <row r="928" spans="85:85">
      <c r="CG928" t="s">
        <v>2221</v>
      </c>
    </row>
    <row r="929" spans="85:85">
      <c r="CG929" t="s">
        <v>2222</v>
      </c>
    </row>
    <row r="930" spans="85:85">
      <c r="CG930" t="s">
        <v>2223</v>
      </c>
    </row>
    <row r="931" spans="85:85">
      <c r="CG931" t="s">
        <v>2224</v>
      </c>
    </row>
    <row r="932" spans="85:85">
      <c r="CG932" t="s">
        <v>2225</v>
      </c>
    </row>
    <row r="933" spans="85:85">
      <c r="CG933" t="s">
        <v>2226</v>
      </c>
    </row>
    <row r="934" spans="85:85">
      <c r="CG934" t="s">
        <v>2227</v>
      </c>
    </row>
    <row r="935" spans="85:85">
      <c r="CG935" t="s">
        <v>2228</v>
      </c>
    </row>
    <row r="936" spans="85:85">
      <c r="CG936" t="s">
        <v>2229</v>
      </c>
    </row>
    <row r="937" spans="85:85">
      <c r="CG937" t="s">
        <v>2230</v>
      </c>
    </row>
    <row r="938" spans="85:85">
      <c r="CG938" t="s">
        <v>2231</v>
      </c>
    </row>
    <row r="939" spans="85:85">
      <c r="CG939" t="s">
        <v>2232</v>
      </c>
    </row>
    <row r="940" spans="85:85">
      <c r="CG940" t="s">
        <v>2233</v>
      </c>
    </row>
    <row r="941" spans="85:85">
      <c r="CG941" t="s">
        <v>2234</v>
      </c>
    </row>
    <row r="942" spans="85:85">
      <c r="CG942" t="s">
        <v>2235</v>
      </c>
    </row>
    <row r="943" spans="85:85">
      <c r="CG943" t="s">
        <v>2236</v>
      </c>
    </row>
    <row r="944" spans="85:85">
      <c r="CG944" t="s">
        <v>2237</v>
      </c>
    </row>
    <row r="945" spans="85:85">
      <c r="CG945" t="s">
        <v>2238</v>
      </c>
    </row>
    <row r="946" spans="85:85">
      <c r="CG946" t="s">
        <v>2239</v>
      </c>
    </row>
    <row r="947" spans="85:85">
      <c r="CG947" t="s">
        <v>2240</v>
      </c>
    </row>
    <row r="948" spans="85:85">
      <c r="CG948" t="s">
        <v>2241</v>
      </c>
    </row>
    <row r="949" spans="85:85">
      <c r="CG949" t="s">
        <v>2242</v>
      </c>
    </row>
    <row r="950" spans="85:85">
      <c r="CG950" t="s">
        <v>2243</v>
      </c>
    </row>
    <row r="951" spans="85:85">
      <c r="CG951" t="s">
        <v>2244</v>
      </c>
    </row>
    <row r="952" spans="85:85">
      <c r="CG952" t="s">
        <v>2245</v>
      </c>
    </row>
    <row r="953" spans="85:85">
      <c r="CG953" t="s">
        <v>2246</v>
      </c>
    </row>
    <row r="954" spans="85:85">
      <c r="CG954" t="s">
        <v>2247</v>
      </c>
    </row>
    <row r="955" spans="85:85">
      <c r="CG955" t="s">
        <v>2248</v>
      </c>
    </row>
    <row r="956" spans="85:85">
      <c r="CG956" t="s">
        <v>2249</v>
      </c>
    </row>
    <row r="957" spans="85:85">
      <c r="CG957" t="s">
        <v>2250</v>
      </c>
    </row>
    <row r="958" spans="85:85">
      <c r="CG958" t="s">
        <v>2251</v>
      </c>
    </row>
    <row r="959" spans="85:85">
      <c r="CG959" t="s">
        <v>2252</v>
      </c>
    </row>
    <row r="960" spans="85:85">
      <c r="CG960" t="s">
        <v>2253</v>
      </c>
    </row>
    <row r="961" spans="85:85">
      <c r="CG961" t="s">
        <v>2254</v>
      </c>
    </row>
    <row r="962" spans="85:85">
      <c r="CG962" t="s">
        <v>2255</v>
      </c>
    </row>
    <row r="963" spans="85:85">
      <c r="CG963" t="s">
        <v>2256</v>
      </c>
    </row>
    <row r="964" spans="85:85">
      <c r="CG964" t="s">
        <v>2257</v>
      </c>
    </row>
    <row r="965" spans="85:85">
      <c r="CG965" t="s">
        <v>2258</v>
      </c>
    </row>
    <row r="966" spans="85:85">
      <c r="CG966" t="s">
        <v>2259</v>
      </c>
    </row>
    <row r="967" spans="85:85">
      <c r="CG967" t="s">
        <v>2260</v>
      </c>
    </row>
    <row r="968" spans="85:85">
      <c r="CG968" t="s">
        <v>2261</v>
      </c>
    </row>
    <row r="969" spans="85:85">
      <c r="CG969" t="s">
        <v>2262</v>
      </c>
    </row>
    <row r="970" spans="85:85">
      <c r="CG970" t="s">
        <v>2263</v>
      </c>
    </row>
    <row r="971" spans="85:85">
      <c r="CG971" t="s">
        <v>2264</v>
      </c>
    </row>
    <row r="972" spans="85:85">
      <c r="CG972" t="s">
        <v>2265</v>
      </c>
    </row>
    <row r="973" spans="85:85">
      <c r="CG973" t="s">
        <v>2266</v>
      </c>
    </row>
    <row r="974" spans="85:85">
      <c r="CG974" t="s">
        <v>2267</v>
      </c>
    </row>
    <row r="975" spans="85:85">
      <c r="CG975" t="s">
        <v>2268</v>
      </c>
    </row>
    <row r="976" spans="85:85">
      <c r="CG976" t="s">
        <v>2269</v>
      </c>
    </row>
    <row r="977" spans="85:85">
      <c r="CG977" t="s">
        <v>2270</v>
      </c>
    </row>
    <row r="978" spans="85:85">
      <c r="CG978" t="s">
        <v>2271</v>
      </c>
    </row>
    <row r="979" spans="85:85">
      <c r="CG979" t="s">
        <v>2272</v>
      </c>
    </row>
    <row r="980" spans="85:85">
      <c r="CG980" t="s">
        <v>2273</v>
      </c>
    </row>
    <row r="981" spans="85:85">
      <c r="CG981" t="s">
        <v>2274</v>
      </c>
    </row>
    <row r="982" spans="85:85">
      <c r="CG982" t="s">
        <v>2275</v>
      </c>
    </row>
    <row r="983" spans="85:85">
      <c r="CG983" t="s">
        <v>2276</v>
      </c>
    </row>
    <row r="984" spans="85:85">
      <c r="CG984" t="s">
        <v>2277</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EA928-89A7-44CC-978E-439F67CB311F}">
  <sheetPr codeName="Blad50"/>
  <dimension ref="B2:AB128"/>
  <sheetViews>
    <sheetView showGridLines="0" workbookViewId="0"/>
  </sheetViews>
  <sheetFormatPr defaultRowHeight="15"/>
  <cols>
    <col min="2" max="2" width="48.7109375" bestFit="1" customWidth="1"/>
    <col min="4" max="20" width="15.7109375" customWidth="1"/>
  </cols>
  <sheetData>
    <row r="2" spans="2:28" ht="23.25">
      <c r="B2" s="86" t="s">
        <v>578</v>
      </c>
      <c r="C2" s="87"/>
      <c r="D2" s="87"/>
      <c r="E2" s="87"/>
      <c r="F2" s="87"/>
      <c r="G2" s="87"/>
      <c r="H2" s="87"/>
      <c r="I2" s="87"/>
      <c r="J2" s="87"/>
      <c r="K2" s="87"/>
      <c r="L2" s="87"/>
      <c r="M2" s="87"/>
      <c r="N2" s="87"/>
      <c r="O2" s="87"/>
    </row>
    <row r="5" spans="2:28" ht="18.75">
      <c r="B5" s="88" t="s">
        <v>3458</v>
      </c>
      <c r="C5" s="87"/>
      <c r="D5" s="87"/>
      <c r="E5" s="87"/>
      <c r="F5" s="87"/>
      <c r="G5" s="87"/>
      <c r="H5" s="87"/>
      <c r="I5" s="87"/>
      <c r="J5" s="87"/>
      <c r="K5" s="87"/>
      <c r="L5" s="87"/>
    </row>
    <row r="9" spans="2:28">
      <c r="D9" s="92" t="s">
        <v>2877</v>
      </c>
      <c r="E9" s="93"/>
      <c r="F9" s="93"/>
      <c r="G9" s="93"/>
      <c r="H9" s="93"/>
      <c r="I9" s="93"/>
      <c r="J9" s="93"/>
      <c r="K9" s="93"/>
      <c r="L9" s="93"/>
      <c r="M9" s="93"/>
      <c r="N9" s="93"/>
      <c r="O9" s="93"/>
      <c r="P9" s="93"/>
      <c r="Q9" s="93"/>
      <c r="R9" s="93"/>
      <c r="S9" s="93"/>
      <c r="T9" s="94"/>
    </row>
    <row r="10" spans="2:28">
      <c r="D10" s="95"/>
      <c r="E10" s="96"/>
      <c r="F10" s="96"/>
      <c r="G10" s="96"/>
      <c r="H10" s="96"/>
      <c r="I10" s="96"/>
      <c r="J10" s="96"/>
      <c r="K10" s="96"/>
      <c r="L10" s="96"/>
      <c r="M10" s="96"/>
      <c r="N10" s="96"/>
      <c r="O10" s="96"/>
      <c r="P10" s="96"/>
      <c r="Q10" s="96"/>
      <c r="R10" s="96"/>
      <c r="S10" s="96"/>
      <c r="T10" s="97"/>
    </row>
    <row r="11" spans="2:28">
      <c r="D11" s="98" t="s">
        <v>3459</v>
      </c>
      <c r="E11" s="100"/>
      <c r="F11" s="100"/>
      <c r="G11" s="100"/>
      <c r="H11" s="100"/>
      <c r="I11" s="100"/>
      <c r="J11" s="100"/>
      <c r="K11" s="100"/>
      <c r="L11" s="100"/>
      <c r="M11" s="100"/>
      <c r="N11" s="100"/>
      <c r="O11" s="99"/>
      <c r="P11" s="98" t="s">
        <v>3472</v>
      </c>
      <c r="Q11" s="100"/>
      <c r="R11" s="100"/>
      <c r="S11" s="99"/>
      <c r="T11" s="89" t="s">
        <v>3480</v>
      </c>
    </row>
    <row r="12" spans="2:28">
      <c r="D12" s="89" t="s">
        <v>3460</v>
      </c>
      <c r="E12" s="89" t="s">
        <v>3461</v>
      </c>
      <c r="F12" s="89" t="s">
        <v>3462</v>
      </c>
      <c r="G12" s="89" t="s">
        <v>3463</v>
      </c>
      <c r="H12" s="89" t="s">
        <v>3464</v>
      </c>
      <c r="I12" s="89" t="s">
        <v>3465</v>
      </c>
      <c r="J12" s="89" t="s">
        <v>3466</v>
      </c>
      <c r="K12" s="89" t="s">
        <v>3467</v>
      </c>
      <c r="L12" s="89" t="s">
        <v>3468</v>
      </c>
      <c r="M12" s="89" t="s">
        <v>3469</v>
      </c>
      <c r="N12" s="89" t="s">
        <v>3470</v>
      </c>
      <c r="O12" s="89" t="s">
        <v>3471</v>
      </c>
      <c r="P12" s="89" t="s">
        <v>3473</v>
      </c>
      <c r="Q12" s="89" t="s">
        <v>3474</v>
      </c>
      <c r="R12" s="89" t="s">
        <v>3476</v>
      </c>
      <c r="S12" s="89" t="s">
        <v>3478</v>
      </c>
      <c r="T12" s="90"/>
    </row>
    <row r="13" spans="2:28">
      <c r="D13" s="91"/>
      <c r="E13" s="91"/>
      <c r="F13" s="91"/>
      <c r="G13" s="91"/>
      <c r="H13" s="91"/>
      <c r="I13" s="91"/>
      <c r="J13" s="91"/>
      <c r="K13" s="91"/>
      <c r="L13" s="91"/>
      <c r="M13" s="91"/>
      <c r="N13" s="91"/>
      <c r="O13" s="91"/>
      <c r="P13" s="91"/>
      <c r="Q13" s="91"/>
      <c r="R13" s="91"/>
      <c r="S13" s="91"/>
      <c r="T13" s="91"/>
    </row>
    <row r="14" spans="2:28">
      <c r="D14" s="45" t="s">
        <v>2879</v>
      </c>
      <c r="E14" s="45" t="s">
        <v>3219</v>
      </c>
      <c r="F14" s="45" t="s">
        <v>3225</v>
      </c>
      <c r="G14" s="45" t="s">
        <v>3223</v>
      </c>
      <c r="H14" s="45" t="s">
        <v>3229</v>
      </c>
      <c r="I14" s="45" t="s">
        <v>3231</v>
      </c>
      <c r="J14" s="45" t="s">
        <v>3233</v>
      </c>
      <c r="K14" s="45" t="s">
        <v>3234</v>
      </c>
      <c r="L14" s="45" t="s">
        <v>3236</v>
      </c>
      <c r="M14" s="45" t="s">
        <v>3239</v>
      </c>
      <c r="N14" s="45" t="s">
        <v>3241</v>
      </c>
      <c r="O14" s="45" t="s">
        <v>3243</v>
      </c>
      <c r="P14" s="45" t="s">
        <v>3375</v>
      </c>
      <c r="Q14" s="45" t="s">
        <v>3475</v>
      </c>
      <c r="R14" s="45" t="s">
        <v>3477</v>
      </c>
      <c r="S14" s="45" t="s">
        <v>3479</v>
      </c>
      <c r="T14" s="45" t="s">
        <v>3481</v>
      </c>
      <c r="AA14" s="13" t="str">
        <f>Show!$B$46&amp;"S.05.01.01.01 Rows {"&amp;COLUMN($C$1)&amp;"}"&amp;"@ForceFilingCode:true"</f>
        <v>!S.05.01.01.01 Rows {3}@ForceFilingCode:true</v>
      </c>
      <c r="AB14" s="13" t="str">
        <f>Show!$B$46&amp;"S.05.01.01.01 Columns {"&amp;COLUMN($D$1)&amp;"}"</f>
        <v>!S.05.01.01.01 Columns {4}</v>
      </c>
    </row>
    <row r="15" spans="2:28">
      <c r="B15" s="43" t="s">
        <v>2880</v>
      </c>
      <c r="C15" s="44" t="s">
        <v>2878</v>
      </c>
      <c r="D15" s="58"/>
      <c r="E15" s="67"/>
      <c r="F15" s="67"/>
      <c r="G15" s="67"/>
      <c r="H15" s="67"/>
      <c r="I15" s="67"/>
      <c r="J15" s="67"/>
      <c r="K15" s="67"/>
      <c r="L15" s="67"/>
      <c r="M15" s="67"/>
      <c r="N15" s="67"/>
      <c r="O15" s="67"/>
      <c r="P15" s="67"/>
      <c r="Q15" s="67"/>
      <c r="R15" s="67"/>
      <c r="S15" s="67"/>
      <c r="T15" s="59"/>
    </row>
    <row r="16" spans="2:28">
      <c r="B16" s="47" t="s">
        <v>3437</v>
      </c>
      <c r="C16" s="44" t="s">
        <v>2878</v>
      </c>
      <c r="D16" s="56"/>
      <c r="E16" s="66"/>
      <c r="F16" s="66"/>
      <c r="G16" s="66"/>
      <c r="H16" s="66"/>
      <c r="I16" s="66"/>
      <c r="J16" s="66"/>
      <c r="K16" s="66"/>
      <c r="L16" s="66"/>
      <c r="M16" s="66"/>
      <c r="N16" s="66"/>
      <c r="O16" s="66"/>
      <c r="P16" s="67"/>
      <c r="Q16" s="67"/>
      <c r="R16" s="67"/>
      <c r="S16" s="67"/>
      <c r="T16" s="57"/>
    </row>
    <row r="17" spans="2:20">
      <c r="B17" s="49" t="s">
        <v>3482</v>
      </c>
      <c r="C17" s="41" t="s">
        <v>2901</v>
      </c>
      <c r="D17" s="60"/>
      <c r="E17" s="60"/>
      <c r="F17" s="60"/>
      <c r="G17" s="60"/>
      <c r="H17" s="60"/>
      <c r="I17" s="60"/>
      <c r="J17" s="60"/>
      <c r="K17" s="60"/>
      <c r="L17" s="60"/>
      <c r="M17" s="60"/>
      <c r="N17" s="60"/>
      <c r="O17" s="64"/>
      <c r="P17" s="58"/>
      <c r="Q17" s="58"/>
      <c r="R17" s="58"/>
      <c r="S17" s="48"/>
      <c r="T17" s="60"/>
    </row>
    <row r="18" spans="2:20">
      <c r="B18" s="49" t="s">
        <v>3483</v>
      </c>
      <c r="C18" s="41" t="s">
        <v>2903</v>
      </c>
      <c r="D18" s="63"/>
      <c r="E18" s="63"/>
      <c r="F18" s="63"/>
      <c r="G18" s="63"/>
      <c r="H18" s="63"/>
      <c r="I18" s="63"/>
      <c r="J18" s="63"/>
      <c r="K18" s="63"/>
      <c r="L18" s="63"/>
      <c r="M18" s="63"/>
      <c r="N18" s="63"/>
      <c r="O18" s="65"/>
      <c r="P18" s="56"/>
      <c r="Q18" s="56"/>
      <c r="R18" s="56"/>
      <c r="S18" s="46"/>
      <c r="T18" s="60"/>
    </row>
    <row r="19" spans="2:20">
      <c r="B19" s="49" t="s">
        <v>3484</v>
      </c>
      <c r="C19" s="44" t="s">
        <v>2905</v>
      </c>
      <c r="D19" s="56"/>
      <c r="E19" s="56"/>
      <c r="F19" s="56"/>
      <c r="G19" s="56"/>
      <c r="H19" s="56"/>
      <c r="I19" s="56"/>
      <c r="J19" s="56"/>
      <c r="K19" s="56"/>
      <c r="L19" s="56"/>
      <c r="M19" s="56"/>
      <c r="N19" s="56"/>
      <c r="O19" s="46"/>
      <c r="P19" s="60"/>
      <c r="Q19" s="60"/>
      <c r="R19" s="60"/>
      <c r="S19" s="60"/>
      <c r="T19" s="60"/>
    </row>
    <row r="20" spans="2:20">
      <c r="B20" s="49" t="s">
        <v>3485</v>
      </c>
      <c r="C20" s="41" t="s">
        <v>2907</v>
      </c>
      <c r="D20" s="60"/>
      <c r="E20" s="60"/>
      <c r="F20" s="60"/>
      <c r="G20" s="60"/>
      <c r="H20" s="60"/>
      <c r="I20" s="60"/>
      <c r="J20" s="60"/>
      <c r="K20" s="60"/>
      <c r="L20" s="60"/>
      <c r="M20" s="60"/>
      <c r="N20" s="60"/>
      <c r="O20" s="60"/>
      <c r="P20" s="60"/>
      <c r="Q20" s="60"/>
      <c r="R20" s="60"/>
      <c r="S20" s="60"/>
      <c r="T20" s="60"/>
    </row>
    <row r="21" spans="2:20">
      <c r="B21" s="49" t="s">
        <v>3486</v>
      </c>
      <c r="C21" s="41" t="s">
        <v>2919</v>
      </c>
      <c r="D21" s="63"/>
      <c r="E21" s="63"/>
      <c r="F21" s="63"/>
      <c r="G21" s="63"/>
      <c r="H21" s="63"/>
      <c r="I21" s="63"/>
      <c r="J21" s="63"/>
      <c r="K21" s="63"/>
      <c r="L21" s="63"/>
      <c r="M21" s="63"/>
      <c r="N21" s="63"/>
      <c r="O21" s="63"/>
      <c r="P21" s="63"/>
      <c r="Q21" s="63"/>
      <c r="R21" s="63"/>
      <c r="S21" s="63"/>
      <c r="T21" s="63"/>
    </row>
    <row r="22" spans="2:20">
      <c r="B22" s="47" t="s">
        <v>3487</v>
      </c>
      <c r="C22" s="44" t="s">
        <v>2878</v>
      </c>
      <c r="D22" s="56"/>
      <c r="E22" s="66"/>
      <c r="F22" s="66"/>
      <c r="G22" s="66"/>
      <c r="H22" s="66"/>
      <c r="I22" s="66"/>
      <c r="J22" s="66"/>
      <c r="K22" s="66"/>
      <c r="L22" s="66"/>
      <c r="M22" s="66"/>
      <c r="N22" s="66"/>
      <c r="O22" s="66"/>
      <c r="P22" s="67"/>
      <c r="Q22" s="67"/>
      <c r="R22" s="67"/>
      <c r="S22" s="67"/>
      <c r="T22" s="57"/>
    </row>
    <row r="23" spans="2:20">
      <c r="B23" s="49" t="s">
        <v>3482</v>
      </c>
      <c r="C23" s="41" t="s">
        <v>2921</v>
      </c>
      <c r="D23" s="60"/>
      <c r="E23" s="60"/>
      <c r="F23" s="60"/>
      <c r="G23" s="60"/>
      <c r="H23" s="60"/>
      <c r="I23" s="60"/>
      <c r="J23" s="60"/>
      <c r="K23" s="60"/>
      <c r="L23" s="60"/>
      <c r="M23" s="60"/>
      <c r="N23" s="60"/>
      <c r="O23" s="64"/>
      <c r="P23" s="58"/>
      <c r="Q23" s="58"/>
      <c r="R23" s="58"/>
      <c r="S23" s="48"/>
      <c r="T23" s="60"/>
    </row>
    <row r="24" spans="2:20">
      <c r="B24" s="49" t="s">
        <v>3483</v>
      </c>
      <c r="C24" s="41" t="s">
        <v>2923</v>
      </c>
      <c r="D24" s="63"/>
      <c r="E24" s="63"/>
      <c r="F24" s="63"/>
      <c r="G24" s="63"/>
      <c r="H24" s="63"/>
      <c r="I24" s="63"/>
      <c r="J24" s="63"/>
      <c r="K24" s="63"/>
      <c r="L24" s="63"/>
      <c r="M24" s="63"/>
      <c r="N24" s="63"/>
      <c r="O24" s="65"/>
      <c r="P24" s="56"/>
      <c r="Q24" s="56"/>
      <c r="R24" s="56"/>
      <c r="S24" s="46"/>
      <c r="T24" s="60"/>
    </row>
    <row r="25" spans="2:20">
      <c r="B25" s="49" t="s">
        <v>3484</v>
      </c>
      <c r="C25" s="44" t="s">
        <v>2925</v>
      </c>
      <c r="D25" s="56"/>
      <c r="E25" s="56"/>
      <c r="F25" s="56"/>
      <c r="G25" s="56"/>
      <c r="H25" s="56"/>
      <c r="I25" s="56"/>
      <c r="J25" s="56"/>
      <c r="K25" s="56"/>
      <c r="L25" s="56"/>
      <c r="M25" s="56"/>
      <c r="N25" s="56"/>
      <c r="O25" s="46"/>
      <c r="P25" s="60"/>
      <c r="Q25" s="60"/>
      <c r="R25" s="60"/>
      <c r="S25" s="60"/>
      <c r="T25" s="60"/>
    </row>
    <row r="26" spans="2:20">
      <c r="B26" s="49" t="s">
        <v>3485</v>
      </c>
      <c r="C26" s="41" t="s">
        <v>2927</v>
      </c>
      <c r="D26" s="60"/>
      <c r="E26" s="60"/>
      <c r="F26" s="60"/>
      <c r="G26" s="60"/>
      <c r="H26" s="60"/>
      <c r="I26" s="60"/>
      <c r="J26" s="60"/>
      <c r="K26" s="60"/>
      <c r="L26" s="60"/>
      <c r="M26" s="60"/>
      <c r="N26" s="60"/>
      <c r="O26" s="60"/>
      <c r="P26" s="60"/>
      <c r="Q26" s="60"/>
      <c r="R26" s="60"/>
      <c r="S26" s="60"/>
      <c r="T26" s="60"/>
    </row>
    <row r="27" spans="2:20">
      <c r="B27" s="49" t="s">
        <v>3486</v>
      </c>
      <c r="C27" s="41" t="s">
        <v>2939</v>
      </c>
      <c r="D27" s="63"/>
      <c r="E27" s="63"/>
      <c r="F27" s="63"/>
      <c r="G27" s="63"/>
      <c r="H27" s="63"/>
      <c r="I27" s="63"/>
      <c r="J27" s="63"/>
      <c r="K27" s="63"/>
      <c r="L27" s="63"/>
      <c r="M27" s="63"/>
      <c r="N27" s="63"/>
      <c r="O27" s="63"/>
      <c r="P27" s="63"/>
      <c r="Q27" s="63"/>
      <c r="R27" s="63"/>
      <c r="S27" s="63"/>
      <c r="T27" s="63"/>
    </row>
    <row r="28" spans="2:20">
      <c r="B28" s="47" t="s">
        <v>3438</v>
      </c>
      <c r="C28" s="44" t="s">
        <v>2878</v>
      </c>
      <c r="D28" s="56"/>
      <c r="E28" s="66"/>
      <c r="F28" s="66"/>
      <c r="G28" s="66"/>
      <c r="H28" s="66"/>
      <c r="I28" s="66"/>
      <c r="J28" s="66"/>
      <c r="K28" s="66"/>
      <c r="L28" s="66"/>
      <c r="M28" s="66"/>
      <c r="N28" s="66"/>
      <c r="O28" s="66"/>
      <c r="P28" s="67"/>
      <c r="Q28" s="67"/>
      <c r="R28" s="67"/>
      <c r="S28" s="67"/>
      <c r="T28" s="57"/>
    </row>
    <row r="29" spans="2:20">
      <c r="B29" s="49" t="s">
        <v>3482</v>
      </c>
      <c r="C29" s="41" t="s">
        <v>2941</v>
      </c>
      <c r="D29" s="60"/>
      <c r="E29" s="60"/>
      <c r="F29" s="60"/>
      <c r="G29" s="60"/>
      <c r="H29" s="60"/>
      <c r="I29" s="60"/>
      <c r="J29" s="60"/>
      <c r="K29" s="60"/>
      <c r="L29" s="60"/>
      <c r="M29" s="60"/>
      <c r="N29" s="60"/>
      <c r="O29" s="64"/>
      <c r="P29" s="58"/>
      <c r="Q29" s="58"/>
      <c r="R29" s="58"/>
      <c r="S29" s="48"/>
      <c r="T29" s="60"/>
    </row>
    <row r="30" spans="2:20">
      <c r="B30" s="49" t="s">
        <v>3483</v>
      </c>
      <c r="C30" s="41" t="s">
        <v>2943</v>
      </c>
      <c r="D30" s="63"/>
      <c r="E30" s="63"/>
      <c r="F30" s="63"/>
      <c r="G30" s="63"/>
      <c r="H30" s="63"/>
      <c r="I30" s="63"/>
      <c r="J30" s="63"/>
      <c r="K30" s="63"/>
      <c r="L30" s="63"/>
      <c r="M30" s="63"/>
      <c r="N30" s="63"/>
      <c r="O30" s="65"/>
      <c r="P30" s="56"/>
      <c r="Q30" s="56"/>
      <c r="R30" s="56"/>
      <c r="S30" s="46"/>
      <c r="T30" s="60"/>
    </row>
    <row r="31" spans="2:20">
      <c r="B31" s="49" t="s">
        <v>3484</v>
      </c>
      <c r="C31" s="44" t="s">
        <v>2945</v>
      </c>
      <c r="D31" s="56"/>
      <c r="E31" s="56"/>
      <c r="F31" s="56"/>
      <c r="G31" s="56"/>
      <c r="H31" s="56"/>
      <c r="I31" s="56"/>
      <c r="J31" s="56"/>
      <c r="K31" s="56"/>
      <c r="L31" s="56"/>
      <c r="M31" s="56"/>
      <c r="N31" s="56"/>
      <c r="O31" s="46"/>
      <c r="P31" s="60"/>
      <c r="Q31" s="60"/>
      <c r="R31" s="60"/>
      <c r="S31" s="60"/>
      <c r="T31" s="60"/>
    </row>
    <row r="32" spans="2:20">
      <c r="B32" s="49" t="s">
        <v>3485</v>
      </c>
      <c r="C32" s="41" t="s">
        <v>2947</v>
      </c>
      <c r="D32" s="60"/>
      <c r="E32" s="60"/>
      <c r="F32" s="60"/>
      <c r="G32" s="60"/>
      <c r="H32" s="60"/>
      <c r="I32" s="60"/>
      <c r="J32" s="60"/>
      <c r="K32" s="60"/>
      <c r="L32" s="60"/>
      <c r="M32" s="60"/>
      <c r="N32" s="60"/>
      <c r="O32" s="60"/>
      <c r="P32" s="60"/>
      <c r="Q32" s="60"/>
      <c r="R32" s="60"/>
      <c r="S32" s="60"/>
      <c r="T32" s="60"/>
    </row>
    <row r="33" spans="2:20">
      <c r="B33" s="49" t="s">
        <v>3486</v>
      </c>
      <c r="C33" s="41" t="s">
        <v>2959</v>
      </c>
      <c r="D33" s="63"/>
      <c r="E33" s="63"/>
      <c r="F33" s="63"/>
      <c r="G33" s="63"/>
      <c r="H33" s="63"/>
      <c r="I33" s="63"/>
      <c r="J33" s="63"/>
      <c r="K33" s="63"/>
      <c r="L33" s="63"/>
      <c r="M33" s="63"/>
      <c r="N33" s="63"/>
      <c r="O33" s="63"/>
      <c r="P33" s="63"/>
      <c r="Q33" s="63"/>
      <c r="R33" s="63"/>
      <c r="S33" s="63"/>
      <c r="T33" s="63"/>
    </row>
    <row r="34" spans="2:20">
      <c r="B34" s="47" t="s">
        <v>3488</v>
      </c>
      <c r="C34" s="44" t="s">
        <v>2878</v>
      </c>
      <c r="D34" s="56"/>
      <c r="E34" s="66"/>
      <c r="F34" s="66"/>
      <c r="G34" s="66"/>
      <c r="H34" s="66"/>
      <c r="I34" s="66"/>
      <c r="J34" s="66"/>
      <c r="K34" s="66"/>
      <c r="L34" s="66"/>
      <c r="M34" s="66"/>
      <c r="N34" s="66"/>
      <c r="O34" s="66"/>
      <c r="P34" s="67"/>
      <c r="Q34" s="67"/>
      <c r="R34" s="67"/>
      <c r="S34" s="67"/>
      <c r="T34" s="57"/>
    </row>
    <row r="35" spans="2:20">
      <c r="B35" s="49" t="s">
        <v>3482</v>
      </c>
      <c r="C35" s="41" t="s">
        <v>2961</v>
      </c>
      <c r="D35" s="60"/>
      <c r="E35" s="60"/>
      <c r="F35" s="60"/>
      <c r="G35" s="60"/>
      <c r="H35" s="60"/>
      <c r="I35" s="60"/>
      <c r="J35" s="60"/>
      <c r="K35" s="60"/>
      <c r="L35" s="60"/>
      <c r="M35" s="60"/>
      <c r="N35" s="60"/>
      <c r="O35" s="64"/>
      <c r="P35" s="58"/>
      <c r="Q35" s="58"/>
      <c r="R35" s="58"/>
      <c r="S35" s="48"/>
      <c r="T35" s="60"/>
    </row>
    <row r="36" spans="2:20">
      <c r="B36" s="49" t="s">
        <v>3483</v>
      </c>
      <c r="C36" s="41" t="s">
        <v>2963</v>
      </c>
      <c r="D36" s="63"/>
      <c r="E36" s="63"/>
      <c r="F36" s="63"/>
      <c r="G36" s="63"/>
      <c r="H36" s="63"/>
      <c r="I36" s="63"/>
      <c r="J36" s="63"/>
      <c r="K36" s="63"/>
      <c r="L36" s="63"/>
      <c r="M36" s="63"/>
      <c r="N36" s="63"/>
      <c r="O36" s="65"/>
      <c r="P36" s="56"/>
      <c r="Q36" s="56"/>
      <c r="R36" s="56"/>
      <c r="S36" s="46"/>
      <c r="T36" s="60"/>
    </row>
    <row r="37" spans="2:20">
      <c r="B37" s="49" t="s">
        <v>3489</v>
      </c>
      <c r="C37" s="44" t="s">
        <v>2965</v>
      </c>
      <c r="D37" s="56"/>
      <c r="E37" s="56"/>
      <c r="F37" s="56"/>
      <c r="G37" s="56"/>
      <c r="H37" s="56"/>
      <c r="I37" s="56"/>
      <c r="J37" s="56"/>
      <c r="K37" s="56"/>
      <c r="L37" s="56"/>
      <c r="M37" s="56"/>
      <c r="N37" s="56"/>
      <c r="O37" s="46"/>
      <c r="P37" s="60"/>
      <c r="Q37" s="60"/>
      <c r="R37" s="60"/>
      <c r="S37" s="60"/>
      <c r="T37" s="60"/>
    </row>
    <row r="38" spans="2:20">
      <c r="B38" s="49" t="s">
        <v>3485</v>
      </c>
      <c r="C38" s="41" t="s">
        <v>2967</v>
      </c>
      <c r="D38" s="60"/>
      <c r="E38" s="60"/>
      <c r="F38" s="60"/>
      <c r="G38" s="60"/>
      <c r="H38" s="60"/>
      <c r="I38" s="60"/>
      <c r="J38" s="60"/>
      <c r="K38" s="60"/>
      <c r="L38" s="60"/>
      <c r="M38" s="60"/>
      <c r="N38" s="60"/>
      <c r="O38" s="60"/>
      <c r="P38" s="60"/>
      <c r="Q38" s="60"/>
      <c r="R38" s="60"/>
      <c r="S38" s="60"/>
      <c r="T38" s="60"/>
    </row>
    <row r="39" spans="2:20">
      <c r="B39" s="49" t="s">
        <v>3486</v>
      </c>
      <c r="C39" s="41" t="s">
        <v>2977</v>
      </c>
      <c r="D39" s="60"/>
      <c r="E39" s="60"/>
      <c r="F39" s="60"/>
      <c r="G39" s="60"/>
      <c r="H39" s="60"/>
      <c r="I39" s="60"/>
      <c r="J39" s="60"/>
      <c r="K39" s="60"/>
      <c r="L39" s="60"/>
      <c r="M39" s="60"/>
      <c r="N39" s="60"/>
      <c r="O39" s="60"/>
      <c r="P39" s="60"/>
      <c r="Q39" s="60"/>
      <c r="R39" s="60"/>
      <c r="S39" s="60"/>
      <c r="T39" s="60"/>
    </row>
    <row r="40" spans="2:20">
      <c r="B40" s="47" t="s">
        <v>3490</v>
      </c>
      <c r="C40" s="41" t="s">
        <v>2987</v>
      </c>
      <c r="D40" s="63"/>
      <c r="E40" s="63"/>
      <c r="F40" s="63"/>
      <c r="G40" s="63"/>
      <c r="H40" s="63"/>
      <c r="I40" s="63"/>
      <c r="J40" s="63"/>
      <c r="K40" s="63"/>
      <c r="L40" s="63"/>
      <c r="M40" s="63"/>
      <c r="N40" s="63"/>
      <c r="O40" s="63"/>
      <c r="P40" s="63"/>
      <c r="Q40" s="63"/>
      <c r="R40" s="63"/>
      <c r="S40" s="63"/>
      <c r="T40" s="63"/>
    </row>
    <row r="41" spans="2:20">
      <c r="B41" s="49" t="s">
        <v>3491</v>
      </c>
      <c r="C41" s="44" t="s">
        <v>2878</v>
      </c>
      <c r="D41" s="56"/>
      <c r="E41" s="66"/>
      <c r="F41" s="66"/>
      <c r="G41" s="66"/>
      <c r="H41" s="66"/>
      <c r="I41" s="66"/>
      <c r="J41" s="66"/>
      <c r="K41" s="66"/>
      <c r="L41" s="66"/>
      <c r="M41" s="66"/>
      <c r="N41" s="66"/>
      <c r="O41" s="66"/>
      <c r="P41" s="67"/>
      <c r="Q41" s="67"/>
      <c r="R41" s="67"/>
      <c r="S41" s="67"/>
      <c r="T41" s="57"/>
    </row>
    <row r="42" spans="2:20">
      <c r="B42" s="61" t="s">
        <v>3482</v>
      </c>
      <c r="C42" s="41" t="s">
        <v>2999</v>
      </c>
      <c r="D42" s="60"/>
      <c r="E42" s="60"/>
      <c r="F42" s="60"/>
      <c r="G42" s="60"/>
      <c r="H42" s="60"/>
      <c r="I42" s="60"/>
      <c r="J42" s="60"/>
      <c r="K42" s="60"/>
      <c r="L42" s="60"/>
      <c r="M42" s="60"/>
      <c r="N42" s="60"/>
      <c r="O42" s="64"/>
      <c r="P42" s="58"/>
      <c r="Q42" s="58"/>
      <c r="R42" s="58"/>
      <c r="S42" s="48"/>
      <c r="T42" s="60"/>
    </row>
    <row r="43" spans="2:20">
      <c r="B43" s="61" t="s">
        <v>3483</v>
      </c>
      <c r="C43" s="41" t="s">
        <v>3001</v>
      </c>
      <c r="D43" s="63"/>
      <c r="E43" s="63"/>
      <c r="F43" s="63"/>
      <c r="G43" s="63"/>
      <c r="H43" s="63"/>
      <c r="I43" s="63"/>
      <c r="J43" s="63"/>
      <c r="K43" s="63"/>
      <c r="L43" s="63"/>
      <c r="M43" s="63"/>
      <c r="N43" s="63"/>
      <c r="O43" s="65"/>
      <c r="P43" s="56"/>
      <c r="Q43" s="56"/>
      <c r="R43" s="56"/>
      <c r="S43" s="46"/>
      <c r="T43" s="60"/>
    </row>
    <row r="44" spans="2:20">
      <c r="B44" s="61" t="s">
        <v>3484</v>
      </c>
      <c r="C44" s="44" t="s">
        <v>3003</v>
      </c>
      <c r="D44" s="56"/>
      <c r="E44" s="56"/>
      <c r="F44" s="56"/>
      <c r="G44" s="56"/>
      <c r="H44" s="56"/>
      <c r="I44" s="56"/>
      <c r="J44" s="56"/>
      <c r="K44" s="56"/>
      <c r="L44" s="56"/>
      <c r="M44" s="56"/>
      <c r="N44" s="56"/>
      <c r="O44" s="46"/>
      <c r="P44" s="60"/>
      <c r="Q44" s="60"/>
      <c r="R44" s="60"/>
      <c r="S44" s="60"/>
      <c r="T44" s="60"/>
    </row>
    <row r="45" spans="2:20">
      <c r="B45" s="61" t="s">
        <v>3485</v>
      </c>
      <c r="C45" s="41" t="s">
        <v>3005</v>
      </c>
      <c r="D45" s="60"/>
      <c r="E45" s="60"/>
      <c r="F45" s="60"/>
      <c r="G45" s="60"/>
      <c r="H45" s="60"/>
      <c r="I45" s="60"/>
      <c r="J45" s="60"/>
      <c r="K45" s="60"/>
      <c r="L45" s="60"/>
      <c r="M45" s="60"/>
      <c r="N45" s="60"/>
      <c r="O45" s="60"/>
      <c r="P45" s="60"/>
      <c r="Q45" s="60"/>
      <c r="R45" s="60"/>
      <c r="S45" s="60"/>
      <c r="T45" s="60"/>
    </row>
    <row r="46" spans="2:20">
      <c r="B46" s="61" t="s">
        <v>3486</v>
      </c>
      <c r="C46" s="41" t="s">
        <v>3064</v>
      </c>
      <c r="D46" s="63"/>
      <c r="E46" s="63"/>
      <c r="F46" s="63"/>
      <c r="G46" s="63"/>
      <c r="H46" s="63"/>
      <c r="I46" s="63"/>
      <c r="J46" s="63"/>
      <c r="K46" s="63"/>
      <c r="L46" s="63"/>
      <c r="M46" s="63"/>
      <c r="N46" s="63"/>
      <c r="O46" s="63"/>
      <c r="P46" s="63"/>
      <c r="Q46" s="63"/>
      <c r="R46" s="63"/>
      <c r="S46" s="63"/>
      <c r="T46" s="63"/>
    </row>
    <row r="47" spans="2:20">
      <c r="B47" s="49" t="s">
        <v>3492</v>
      </c>
      <c r="C47" s="44" t="s">
        <v>2878</v>
      </c>
      <c r="D47" s="56"/>
      <c r="E47" s="66"/>
      <c r="F47" s="66"/>
      <c r="G47" s="66"/>
      <c r="H47" s="66"/>
      <c r="I47" s="66"/>
      <c r="J47" s="66"/>
      <c r="K47" s="66"/>
      <c r="L47" s="66"/>
      <c r="M47" s="66"/>
      <c r="N47" s="66"/>
      <c r="O47" s="66"/>
      <c r="P47" s="67"/>
      <c r="Q47" s="67"/>
      <c r="R47" s="67"/>
      <c r="S47" s="67"/>
      <c r="T47" s="57"/>
    </row>
    <row r="48" spans="2:20">
      <c r="B48" s="61" t="s">
        <v>3482</v>
      </c>
      <c r="C48" s="41" t="s">
        <v>3066</v>
      </c>
      <c r="D48" s="60"/>
      <c r="E48" s="60"/>
      <c r="F48" s="60"/>
      <c r="G48" s="60"/>
      <c r="H48" s="60"/>
      <c r="I48" s="60"/>
      <c r="J48" s="60"/>
      <c r="K48" s="60"/>
      <c r="L48" s="60"/>
      <c r="M48" s="60"/>
      <c r="N48" s="60"/>
      <c r="O48" s="64"/>
      <c r="P48" s="58"/>
      <c r="Q48" s="58"/>
      <c r="R48" s="58"/>
      <c r="S48" s="48"/>
      <c r="T48" s="60"/>
    </row>
    <row r="49" spans="2:20">
      <c r="B49" s="61" t="s">
        <v>3483</v>
      </c>
      <c r="C49" s="41" t="s">
        <v>3068</v>
      </c>
      <c r="D49" s="63"/>
      <c r="E49" s="63"/>
      <c r="F49" s="63"/>
      <c r="G49" s="63"/>
      <c r="H49" s="63"/>
      <c r="I49" s="63"/>
      <c r="J49" s="63"/>
      <c r="K49" s="63"/>
      <c r="L49" s="63"/>
      <c r="M49" s="63"/>
      <c r="N49" s="63"/>
      <c r="O49" s="65"/>
      <c r="P49" s="56"/>
      <c r="Q49" s="56"/>
      <c r="R49" s="56"/>
      <c r="S49" s="46"/>
      <c r="T49" s="60"/>
    </row>
    <row r="50" spans="2:20">
      <c r="B50" s="61" t="s">
        <v>3484</v>
      </c>
      <c r="C50" s="44" t="s">
        <v>3070</v>
      </c>
      <c r="D50" s="56"/>
      <c r="E50" s="56"/>
      <c r="F50" s="56"/>
      <c r="G50" s="56"/>
      <c r="H50" s="56"/>
      <c r="I50" s="56"/>
      <c r="J50" s="56"/>
      <c r="K50" s="56"/>
      <c r="L50" s="56"/>
      <c r="M50" s="56"/>
      <c r="N50" s="56"/>
      <c r="O50" s="46"/>
      <c r="P50" s="60"/>
      <c r="Q50" s="60"/>
      <c r="R50" s="60"/>
      <c r="S50" s="60"/>
      <c r="T50" s="60"/>
    </row>
    <row r="51" spans="2:20">
      <c r="B51" s="61" t="s">
        <v>3485</v>
      </c>
      <c r="C51" s="41" t="s">
        <v>3017</v>
      </c>
      <c r="D51" s="60"/>
      <c r="E51" s="60"/>
      <c r="F51" s="60"/>
      <c r="G51" s="60"/>
      <c r="H51" s="60"/>
      <c r="I51" s="60"/>
      <c r="J51" s="60"/>
      <c r="K51" s="60"/>
      <c r="L51" s="60"/>
      <c r="M51" s="60"/>
      <c r="N51" s="60"/>
      <c r="O51" s="60"/>
      <c r="P51" s="60"/>
      <c r="Q51" s="60"/>
      <c r="R51" s="60"/>
      <c r="S51" s="60"/>
      <c r="T51" s="60"/>
    </row>
    <row r="52" spans="2:20">
      <c r="B52" s="61" t="s">
        <v>3486</v>
      </c>
      <c r="C52" s="41" t="s">
        <v>3120</v>
      </c>
      <c r="D52" s="63"/>
      <c r="E52" s="63"/>
      <c r="F52" s="63"/>
      <c r="G52" s="63"/>
      <c r="H52" s="63"/>
      <c r="I52" s="63"/>
      <c r="J52" s="63"/>
      <c r="K52" s="63"/>
      <c r="L52" s="63"/>
      <c r="M52" s="63"/>
      <c r="N52" s="63"/>
      <c r="O52" s="63"/>
      <c r="P52" s="63"/>
      <c r="Q52" s="63"/>
      <c r="R52" s="63"/>
      <c r="S52" s="63"/>
      <c r="T52" s="63"/>
    </row>
    <row r="53" spans="2:20">
      <c r="B53" s="49" t="s">
        <v>3493</v>
      </c>
      <c r="C53" s="44" t="s">
        <v>2878</v>
      </c>
      <c r="D53" s="56"/>
      <c r="E53" s="66"/>
      <c r="F53" s="66"/>
      <c r="G53" s="66"/>
      <c r="H53" s="66"/>
      <c r="I53" s="66"/>
      <c r="J53" s="66"/>
      <c r="K53" s="66"/>
      <c r="L53" s="66"/>
      <c r="M53" s="66"/>
      <c r="N53" s="66"/>
      <c r="O53" s="66"/>
      <c r="P53" s="67"/>
      <c r="Q53" s="67"/>
      <c r="R53" s="67"/>
      <c r="S53" s="67"/>
      <c r="T53" s="57"/>
    </row>
    <row r="54" spans="2:20">
      <c r="B54" s="61" t="s">
        <v>3482</v>
      </c>
      <c r="C54" s="41" t="s">
        <v>3122</v>
      </c>
      <c r="D54" s="60"/>
      <c r="E54" s="60"/>
      <c r="F54" s="60"/>
      <c r="G54" s="60"/>
      <c r="H54" s="60"/>
      <c r="I54" s="60"/>
      <c r="J54" s="60"/>
      <c r="K54" s="60"/>
      <c r="L54" s="60"/>
      <c r="M54" s="60"/>
      <c r="N54" s="60"/>
      <c r="O54" s="64"/>
      <c r="P54" s="58"/>
      <c r="Q54" s="58"/>
      <c r="R54" s="58"/>
      <c r="S54" s="48"/>
      <c r="T54" s="60"/>
    </row>
    <row r="55" spans="2:20">
      <c r="B55" s="61" t="s">
        <v>3483</v>
      </c>
      <c r="C55" s="41" t="s">
        <v>3124</v>
      </c>
      <c r="D55" s="63"/>
      <c r="E55" s="63"/>
      <c r="F55" s="63"/>
      <c r="G55" s="63"/>
      <c r="H55" s="63"/>
      <c r="I55" s="63"/>
      <c r="J55" s="63"/>
      <c r="K55" s="63"/>
      <c r="L55" s="63"/>
      <c r="M55" s="63"/>
      <c r="N55" s="63"/>
      <c r="O55" s="65"/>
      <c r="P55" s="56"/>
      <c r="Q55" s="56"/>
      <c r="R55" s="56"/>
      <c r="S55" s="46"/>
      <c r="T55" s="60"/>
    </row>
    <row r="56" spans="2:20">
      <c r="B56" s="61" t="s">
        <v>3484</v>
      </c>
      <c r="C56" s="44" t="s">
        <v>3126</v>
      </c>
      <c r="D56" s="56"/>
      <c r="E56" s="56"/>
      <c r="F56" s="56"/>
      <c r="G56" s="56"/>
      <c r="H56" s="56"/>
      <c r="I56" s="56"/>
      <c r="J56" s="56"/>
      <c r="K56" s="56"/>
      <c r="L56" s="56"/>
      <c r="M56" s="56"/>
      <c r="N56" s="56"/>
      <c r="O56" s="46"/>
      <c r="P56" s="60"/>
      <c r="Q56" s="60"/>
      <c r="R56" s="60"/>
      <c r="S56" s="60"/>
      <c r="T56" s="60"/>
    </row>
    <row r="57" spans="2:20">
      <c r="B57" s="61" t="s">
        <v>3485</v>
      </c>
      <c r="C57" s="41" t="s">
        <v>3128</v>
      </c>
      <c r="D57" s="60"/>
      <c r="E57" s="60"/>
      <c r="F57" s="60"/>
      <c r="G57" s="60"/>
      <c r="H57" s="60"/>
      <c r="I57" s="60"/>
      <c r="J57" s="60"/>
      <c r="K57" s="60"/>
      <c r="L57" s="60"/>
      <c r="M57" s="60"/>
      <c r="N57" s="60"/>
      <c r="O57" s="60"/>
      <c r="P57" s="60"/>
      <c r="Q57" s="60"/>
      <c r="R57" s="60"/>
      <c r="S57" s="60"/>
      <c r="T57" s="60"/>
    </row>
    <row r="58" spans="2:20">
      <c r="B58" s="61" t="s">
        <v>3486</v>
      </c>
      <c r="C58" s="41" t="s">
        <v>3140</v>
      </c>
      <c r="D58" s="63"/>
      <c r="E58" s="63"/>
      <c r="F58" s="63"/>
      <c r="G58" s="63"/>
      <c r="H58" s="63"/>
      <c r="I58" s="63"/>
      <c r="J58" s="63"/>
      <c r="K58" s="63"/>
      <c r="L58" s="63"/>
      <c r="M58" s="63"/>
      <c r="N58" s="63"/>
      <c r="O58" s="63"/>
      <c r="P58" s="63"/>
      <c r="Q58" s="63"/>
      <c r="R58" s="63"/>
      <c r="S58" s="63"/>
      <c r="T58" s="63"/>
    </row>
    <row r="59" spans="2:20">
      <c r="B59" s="49" t="s">
        <v>3494</v>
      </c>
      <c r="C59" s="44" t="s">
        <v>2878</v>
      </c>
      <c r="D59" s="56"/>
      <c r="E59" s="66"/>
      <c r="F59" s="66"/>
      <c r="G59" s="66"/>
      <c r="H59" s="66"/>
      <c r="I59" s="66"/>
      <c r="J59" s="66"/>
      <c r="K59" s="66"/>
      <c r="L59" s="66"/>
      <c r="M59" s="66"/>
      <c r="N59" s="66"/>
      <c r="O59" s="66"/>
      <c r="P59" s="67"/>
      <c r="Q59" s="67"/>
      <c r="R59" s="67"/>
      <c r="S59" s="67"/>
      <c r="T59" s="57"/>
    </row>
    <row r="60" spans="2:20">
      <c r="B60" s="61" t="s">
        <v>3482</v>
      </c>
      <c r="C60" s="41" t="s">
        <v>3142</v>
      </c>
      <c r="D60" s="60"/>
      <c r="E60" s="60"/>
      <c r="F60" s="60"/>
      <c r="G60" s="60"/>
      <c r="H60" s="60"/>
      <c r="I60" s="60"/>
      <c r="J60" s="60"/>
      <c r="K60" s="60"/>
      <c r="L60" s="60"/>
      <c r="M60" s="60"/>
      <c r="N60" s="60"/>
      <c r="O60" s="64"/>
      <c r="P60" s="58"/>
      <c r="Q60" s="58"/>
      <c r="R60" s="58"/>
      <c r="S60" s="48"/>
      <c r="T60" s="60"/>
    </row>
    <row r="61" spans="2:20">
      <c r="B61" s="61" t="s">
        <v>3483</v>
      </c>
      <c r="C61" s="41" t="s">
        <v>3144</v>
      </c>
      <c r="D61" s="63"/>
      <c r="E61" s="63"/>
      <c r="F61" s="63"/>
      <c r="G61" s="63"/>
      <c r="H61" s="63"/>
      <c r="I61" s="63"/>
      <c r="J61" s="63"/>
      <c r="K61" s="63"/>
      <c r="L61" s="63"/>
      <c r="M61" s="63"/>
      <c r="N61" s="63"/>
      <c r="O61" s="65"/>
      <c r="P61" s="56"/>
      <c r="Q61" s="56"/>
      <c r="R61" s="56"/>
      <c r="S61" s="46"/>
      <c r="T61" s="60"/>
    </row>
    <row r="62" spans="2:20">
      <c r="B62" s="61" t="s">
        <v>3484</v>
      </c>
      <c r="C62" s="44" t="s">
        <v>3146</v>
      </c>
      <c r="D62" s="56"/>
      <c r="E62" s="56"/>
      <c r="F62" s="56"/>
      <c r="G62" s="56"/>
      <c r="H62" s="56"/>
      <c r="I62" s="56"/>
      <c r="J62" s="56"/>
      <c r="K62" s="56"/>
      <c r="L62" s="56"/>
      <c r="M62" s="56"/>
      <c r="N62" s="56"/>
      <c r="O62" s="46"/>
      <c r="P62" s="60"/>
      <c r="Q62" s="60"/>
      <c r="R62" s="60"/>
      <c r="S62" s="60"/>
      <c r="T62" s="60"/>
    </row>
    <row r="63" spans="2:20">
      <c r="B63" s="61" t="s">
        <v>3485</v>
      </c>
      <c r="C63" s="41" t="s">
        <v>3148</v>
      </c>
      <c r="D63" s="60"/>
      <c r="E63" s="60"/>
      <c r="F63" s="60"/>
      <c r="G63" s="60"/>
      <c r="H63" s="60"/>
      <c r="I63" s="60"/>
      <c r="J63" s="60"/>
      <c r="K63" s="60"/>
      <c r="L63" s="60"/>
      <c r="M63" s="60"/>
      <c r="N63" s="60"/>
      <c r="O63" s="60"/>
      <c r="P63" s="60"/>
      <c r="Q63" s="60"/>
      <c r="R63" s="60"/>
      <c r="S63" s="60"/>
      <c r="T63" s="60"/>
    </row>
    <row r="64" spans="2:20">
      <c r="B64" s="61" t="s">
        <v>3486</v>
      </c>
      <c r="C64" s="41" t="s">
        <v>3315</v>
      </c>
      <c r="D64" s="63"/>
      <c r="E64" s="63"/>
      <c r="F64" s="63"/>
      <c r="G64" s="63"/>
      <c r="H64" s="63"/>
      <c r="I64" s="63"/>
      <c r="J64" s="63"/>
      <c r="K64" s="63"/>
      <c r="L64" s="63"/>
      <c r="M64" s="63"/>
      <c r="N64" s="63"/>
      <c r="O64" s="63"/>
      <c r="P64" s="63"/>
      <c r="Q64" s="63"/>
      <c r="R64" s="63"/>
      <c r="S64" s="63"/>
      <c r="T64" s="63"/>
    </row>
    <row r="65" spans="2:28">
      <c r="B65" s="49" t="s">
        <v>3495</v>
      </c>
      <c r="C65" s="44" t="s">
        <v>2878</v>
      </c>
      <c r="D65" s="56"/>
      <c r="E65" s="66"/>
      <c r="F65" s="66"/>
      <c r="G65" s="66"/>
      <c r="H65" s="66"/>
      <c r="I65" s="66"/>
      <c r="J65" s="66"/>
      <c r="K65" s="66"/>
      <c r="L65" s="66"/>
      <c r="M65" s="66"/>
      <c r="N65" s="66"/>
      <c r="O65" s="66"/>
      <c r="P65" s="67"/>
      <c r="Q65" s="67"/>
      <c r="R65" s="67"/>
      <c r="S65" s="67"/>
      <c r="T65" s="57"/>
    </row>
    <row r="66" spans="2:28">
      <c r="B66" s="61" t="s">
        <v>3482</v>
      </c>
      <c r="C66" s="41" t="s">
        <v>3496</v>
      </c>
      <c r="D66" s="60"/>
      <c r="E66" s="60"/>
      <c r="F66" s="60"/>
      <c r="G66" s="60"/>
      <c r="H66" s="60"/>
      <c r="I66" s="60"/>
      <c r="J66" s="60"/>
      <c r="K66" s="60"/>
      <c r="L66" s="60"/>
      <c r="M66" s="60"/>
      <c r="N66" s="60"/>
      <c r="O66" s="64"/>
      <c r="P66" s="58"/>
      <c r="Q66" s="58"/>
      <c r="R66" s="58"/>
      <c r="S66" s="48"/>
      <c r="T66" s="60"/>
    </row>
    <row r="67" spans="2:28">
      <c r="B67" s="61" t="s">
        <v>3483</v>
      </c>
      <c r="C67" s="41" t="s">
        <v>3497</v>
      </c>
      <c r="D67" s="63"/>
      <c r="E67" s="63"/>
      <c r="F67" s="63"/>
      <c r="G67" s="63"/>
      <c r="H67" s="63"/>
      <c r="I67" s="63"/>
      <c r="J67" s="63"/>
      <c r="K67" s="63"/>
      <c r="L67" s="63"/>
      <c r="M67" s="63"/>
      <c r="N67" s="63"/>
      <c r="O67" s="65"/>
      <c r="P67" s="56"/>
      <c r="Q67" s="56"/>
      <c r="R67" s="56"/>
      <c r="S67" s="46"/>
      <c r="T67" s="60"/>
    </row>
    <row r="68" spans="2:28">
      <c r="B68" s="61" t="s">
        <v>3484</v>
      </c>
      <c r="C68" s="44" t="s">
        <v>3498</v>
      </c>
      <c r="D68" s="56"/>
      <c r="E68" s="56"/>
      <c r="F68" s="56"/>
      <c r="G68" s="56"/>
      <c r="H68" s="56"/>
      <c r="I68" s="56"/>
      <c r="J68" s="56"/>
      <c r="K68" s="56"/>
      <c r="L68" s="56"/>
      <c r="M68" s="56"/>
      <c r="N68" s="56"/>
      <c r="O68" s="46"/>
      <c r="P68" s="60"/>
      <c r="Q68" s="60"/>
      <c r="R68" s="60"/>
      <c r="S68" s="60"/>
      <c r="T68" s="60"/>
    </row>
    <row r="69" spans="2:28">
      <c r="B69" s="61" t="s">
        <v>3485</v>
      </c>
      <c r="C69" s="41" t="s">
        <v>3499</v>
      </c>
      <c r="D69" s="60"/>
      <c r="E69" s="60"/>
      <c r="F69" s="60"/>
      <c r="G69" s="60"/>
      <c r="H69" s="60"/>
      <c r="I69" s="60"/>
      <c r="J69" s="60"/>
      <c r="K69" s="60"/>
      <c r="L69" s="60"/>
      <c r="M69" s="60"/>
      <c r="N69" s="60"/>
      <c r="O69" s="60"/>
      <c r="P69" s="60"/>
      <c r="Q69" s="60"/>
      <c r="R69" s="60"/>
      <c r="S69" s="60"/>
      <c r="T69" s="60"/>
    </row>
    <row r="70" spans="2:28">
      <c r="B70" s="61" t="s">
        <v>3486</v>
      </c>
      <c r="C70" s="41" t="s">
        <v>3500</v>
      </c>
      <c r="D70" s="63"/>
      <c r="E70" s="63"/>
      <c r="F70" s="63"/>
      <c r="G70" s="63"/>
      <c r="H70" s="63"/>
      <c r="I70" s="63"/>
      <c r="J70" s="63"/>
      <c r="K70" s="63"/>
      <c r="L70" s="63"/>
      <c r="M70" s="63"/>
      <c r="N70" s="63"/>
      <c r="O70" s="63"/>
      <c r="P70" s="63"/>
      <c r="Q70" s="63"/>
      <c r="R70" s="63"/>
      <c r="S70" s="63"/>
      <c r="T70" s="60"/>
    </row>
    <row r="71" spans="2:28">
      <c r="B71" s="47" t="s">
        <v>3501</v>
      </c>
      <c r="C71" s="44" t="s">
        <v>3502</v>
      </c>
      <c r="D71" s="58"/>
      <c r="E71" s="58"/>
      <c r="F71" s="58"/>
      <c r="G71" s="58"/>
      <c r="H71" s="58"/>
      <c r="I71" s="58"/>
      <c r="J71" s="58"/>
      <c r="K71" s="58"/>
      <c r="L71" s="58"/>
      <c r="M71" s="58"/>
      <c r="N71" s="58"/>
      <c r="O71" s="58"/>
      <c r="P71" s="58"/>
      <c r="Q71" s="58"/>
      <c r="R71" s="58"/>
      <c r="S71" s="48"/>
      <c r="T71" s="60"/>
    </row>
    <row r="72" spans="2:28">
      <c r="B72" s="47" t="s">
        <v>3503</v>
      </c>
      <c r="C72" s="44" t="s">
        <v>3504</v>
      </c>
      <c r="D72" s="56"/>
      <c r="E72" s="56"/>
      <c r="F72" s="56"/>
      <c r="G72" s="56"/>
      <c r="H72" s="56"/>
      <c r="I72" s="56"/>
      <c r="J72" s="56"/>
      <c r="K72" s="56"/>
      <c r="L72" s="56"/>
      <c r="M72" s="56"/>
      <c r="N72" s="56"/>
      <c r="O72" s="56"/>
      <c r="P72" s="56"/>
      <c r="Q72" s="56"/>
      <c r="R72" s="56"/>
      <c r="S72" s="46"/>
      <c r="T72" s="60"/>
    </row>
    <row r="74" spans="2:28">
      <c r="AA74" s="13" t="str">
        <f>Show!$B$46&amp;Show!$B$46&amp;"S.05.01.01.01 Rows {"&amp;COLUMN($C$1)&amp;"}"</f>
        <v>!!S.05.01.01.01 Rows {3}</v>
      </c>
      <c r="AB74" s="13" t="str">
        <f>Show!$B$46&amp;Show!$B$46&amp;"S.05.01.01.01 Columns {"&amp;COLUMN($T$1)&amp;"}"</f>
        <v>!!S.05.01.01.01 Columns {20}</v>
      </c>
    </row>
    <row r="76" spans="2:28" ht="18.75">
      <c r="B76" s="88" t="s">
        <v>3505</v>
      </c>
      <c r="C76" s="87"/>
      <c r="D76" s="87"/>
      <c r="E76" s="87"/>
      <c r="F76" s="87"/>
      <c r="G76" s="87"/>
      <c r="H76" s="87"/>
      <c r="I76" s="87"/>
      <c r="J76" s="87"/>
      <c r="K76" s="87"/>
      <c r="L76" s="87"/>
    </row>
    <row r="80" spans="2:28">
      <c r="D80" s="92" t="s">
        <v>2877</v>
      </c>
      <c r="E80" s="93"/>
      <c r="F80" s="93"/>
      <c r="G80" s="93"/>
      <c r="H80" s="93"/>
      <c r="I80" s="93"/>
      <c r="J80" s="93"/>
      <c r="K80" s="93"/>
      <c r="L80" s="94"/>
    </row>
    <row r="81" spans="2:28">
      <c r="D81" s="95"/>
      <c r="E81" s="96"/>
      <c r="F81" s="96"/>
      <c r="G81" s="96"/>
      <c r="H81" s="96"/>
      <c r="I81" s="96"/>
      <c r="J81" s="96"/>
      <c r="K81" s="96"/>
      <c r="L81" s="97"/>
    </row>
    <row r="82" spans="2:28">
      <c r="D82" s="98" t="s">
        <v>3506</v>
      </c>
      <c r="E82" s="100"/>
      <c r="F82" s="100"/>
      <c r="G82" s="100"/>
      <c r="H82" s="100"/>
      <c r="I82" s="99"/>
      <c r="J82" s="98" t="s">
        <v>3516</v>
      </c>
      <c r="K82" s="99"/>
      <c r="L82" s="89" t="s">
        <v>3480</v>
      </c>
    </row>
    <row r="83" spans="2:28">
      <c r="D83" s="89" t="s">
        <v>3507</v>
      </c>
      <c r="E83" s="89" t="s">
        <v>1264</v>
      </c>
      <c r="F83" s="89" t="s">
        <v>3510</v>
      </c>
      <c r="G83" s="89" t="s">
        <v>3512</v>
      </c>
      <c r="H83" s="89" t="s">
        <v>1267</v>
      </c>
      <c r="I83" s="89" t="s">
        <v>1268</v>
      </c>
      <c r="J83" s="89" t="s">
        <v>1269</v>
      </c>
      <c r="K83" s="89" t="s">
        <v>1270</v>
      </c>
      <c r="L83" s="90"/>
    </row>
    <row r="84" spans="2:28">
      <c r="D84" s="91"/>
      <c r="E84" s="91"/>
      <c r="F84" s="91"/>
      <c r="G84" s="91"/>
      <c r="H84" s="91"/>
      <c r="I84" s="91"/>
      <c r="J84" s="91"/>
      <c r="K84" s="91"/>
      <c r="L84" s="91"/>
    </row>
    <row r="85" spans="2:28">
      <c r="D85" s="45" t="s">
        <v>3508</v>
      </c>
      <c r="E85" s="45" t="s">
        <v>3509</v>
      </c>
      <c r="F85" s="45" t="s">
        <v>3511</v>
      </c>
      <c r="G85" s="45" t="s">
        <v>3513</v>
      </c>
      <c r="H85" s="45" t="s">
        <v>3514</v>
      </c>
      <c r="I85" s="45" t="s">
        <v>3515</v>
      </c>
      <c r="J85" s="45" t="s">
        <v>3517</v>
      </c>
      <c r="K85" s="45" t="s">
        <v>3518</v>
      </c>
      <c r="L85" s="45" t="s">
        <v>3519</v>
      </c>
      <c r="AA85" s="13" t="str">
        <f>Show!$B$46&amp;"S.05.01.01.02 Rows {"&amp;COLUMN($C$1)&amp;"}"&amp;"@ForceFilingCode:true"</f>
        <v>!S.05.01.01.02 Rows {3}@ForceFilingCode:true</v>
      </c>
      <c r="AB85" s="13" t="str">
        <f>Show!$B$46&amp;"S.05.01.01.02 Columns {"&amp;COLUMN($D$1)&amp;"}"</f>
        <v>!S.05.01.01.02 Columns {4}</v>
      </c>
    </row>
    <row r="86" spans="2:28">
      <c r="B86" s="43" t="s">
        <v>2880</v>
      </c>
      <c r="C86" s="44" t="s">
        <v>2878</v>
      </c>
      <c r="D86" s="58"/>
      <c r="E86" s="67"/>
      <c r="F86" s="67"/>
      <c r="G86" s="67"/>
      <c r="H86" s="67"/>
      <c r="I86" s="67"/>
      <c r="J86" s="67"/>
      <c r="K86" s="67"/>
      <c r="L86" s="59"/>
    </row>
    <row r="87" spans="2:28">
      <c r="B87" s="47" t="s">
        <v>3437</v>
      </c>
      <c r="C87" s="44" t="s">
        <v>2878</v>
      </c>
      <c r="D87" s="56"/>
      <c r="E87" s="66"/>
      <c r="F87" s="66"/>
      <c r="G87" s="66"/>
      <c r="H87" s="66"/>
      <c r="I87" s="66"/>
      <c r="J87" s="66"/>
      <c r="K87" s="66"/>
      <c r="L87" s="57"/>
    </row>
    <row r="88" spans="2:28">
      <c r="B88" s="49" t="s">
        <v>3520</v>
      </c>
      <c r="C88" s="41" t="s">
        <v>3521</v>
      </c>
      <c r="D88" s="60"/>
      <c r="E88" s="60"/>
      <c r="F88" s="60"/>
      <c r="G88" s="60"/>
      <c r="H88" s="60"/>
      <c r="I88" s="60"/>
      <c r="J88" s="60"/>
      <c r="K88" s="60"/>
      <c r="L88" s="60"/>
    </row>
    <row r="89" spans="2:28">
      <c r="B89" s="49" t="s">
        <v>3485</v>
      </c>
      <c r="C89" s="41" t="s">
        <v>3522</v>
      </c>
      <c r="D89" s="60"/>
      <c r="E89" s="60"/>
      <c r="F89" s="60"/>
      <c r="G89" s="60"/>
      <c r="H89" s="60"/>
      <c r="I89" s="60"/>
      <c r="J89" s="60"/>
      <c r="K89" s="60"/>
      <c r="L89" s="60"/>
    </row>
    <row r="90" spans="2:28">
      <c r="B90" s="49" t="s">
        <v>3486</v>
      </c>
      <c r="C90" s="41" t="s">
        <v>3523</v>
      </c>
      <c r="D90" s="63"/>
      <c r="E90" s="63"/>
      <c r="F90" s="63"/>
      <c r="G90" s="63"/>
      <c r="H90" s="63"/>
      <c r="I90" s="63"/>
      <c r="J90" s="63"/>
      <c r="K90" s="63"/>
      <c r="L90" s="63"/>
    </row>
    <row r="91" spans="2:28">
      <c r="B91" s="47" t="s">
        <v>3487</v>
      </c>
      <c r="C91" s="44" t="s">
        <v>2878</v>
      </c>
      <c r="D91" s="56"/>
      <c r="E91" s="66"/>
      <c r="F91" s="66"/>
      <c r="G91" s="66"/>
      <c r="H91" s="66"/>
      <c r="I91" s="66"/>
      <c r="J91" s="66"/>
      <c r="K91" s="66"/>
      <c r="L91" s="57"/>
    </row>
    <row r="92" spans="2:28">
      <c r="B92" s="49" t="s">
        <v>3520</v>
      </c>
      <c r="C92" s="41" t="s">
        <v>3524</v>
      </c>
      <c r="D92" s="60"/>
      <c r="E92" s="60"/>
      <c r="F92" s="60"/>
      <c r="G92" s="60"/>
      <c r="H92" s="60"/>
      <c r="I92" s="60"/>
      <c r="J92" s="60"/>
      <c r="K92" s="60"/>
      <c r="L92" s="60"/>
    </row>
    <row r="93" spans="2:28">
      <c r="B93" s="49" t="s">
        <v>3485</v>
      </c>
      <c r="C93" s="41" t="s">
        <v>3525</v>
      </c>
      <c r="D93" s="60"/>
      <c r="E93" s="60"/>
      <c r="F93" s="60"/>
      <c r="G93" s="60"/>
      <c r="H93" s="60"/>
      <c r="I93" s="60"/>
      <c r="J93" s="60"/>
      <c r="K93" s="60"/>
      <c r="L93" s="60"/>
    </row>
    <row r="94" spans="2:28">
      <c r="B94" s="49" t="s">
        <v>3486</v>
      </c>
      <c r="C94" s="41" t="s">
        <v>3526</v>
      </c>
      <c r="D94" s="63"/>
      <c r="E94" s="63"/>
      <c r="F94" s="63"/>
      <c r="G94" s="63"/>
      <c r="H94" s="63"/>
      <c r="I94" s="63"/>
      <c r="J94" s="63"/>
      <c r="K94" s="63"/>
      <c r="L94" s="63"/>
    </row>
    <row r="95" spans="2:28">
      <c r="B95" s="47" t="s">
        <v>3438</v>
      </c>
      <c r="C95" s="44" t="s">
        <v>2878</v>
      </c>
      <c r="D95" s="56"/>
      <c r="E95" s="66"/>
      <c r="F95" s="66"/>
      <c r="G95" s="66"/>
      <c r="H95" s="66"/>
      <c r="I95" s="66"/>
      <c r="J95" s="66"/>
      <c r="K95" s="66"/>
      <c r="L95" s="57"/>
    </row>
    <row r="96" spans="2:28">
      <c r="B96" s="49" t="s">
        <v>3520</v>
      </c>
      <c r="C96" s="41" t="s">
        <v>3527</v>
      </c>
      <c r="D96" s="60"/>
      <c r="E96" s="60"/>
      <c r="F96" s="60"/>
      <c r="G96" s="60"/>
      <c r="H96" s="60"/>
      <c r="I96" s="60"/>
      <c r="J96" s="60"/>
      <c r="K96" s="60"/>
      <c r="L96" s="60"/>
    </row>
    <row r="97" spans="2:12">
      <c r="B97" s="49" t="s">
        <v>3485</v>
      </c>
      <c r="C97" s="41" t="s">
        <v>3528</v>
      </c>
      <c r="D97" s="60"/>
      <c r="E97" s="60"/>
      <c r="F97" s="60"/>
      <c r="G97" s="60"/>
      <c r="H97" s="60"/>
      <c r="I97" s="60"/>
      <c r="J97" s="60"/>
      <c r="K97" s="60"/>
      <c r="L97" s="60"/>
    </row>
    <row r="98" spans="2:12">
      <c r="B98" s="49" t="s">
        <v>3486</v>
      </c>
      <c r="C98" s="41" t="s">
        <v>3529</v>
      </c>
      <c r="D98" s="63"/>
      <c r="E98" s="63"/>
      <c r="F98" s="63"/>
      <c r="G98" s="63"/>
      <c r="H98" s="63"/>
      <c r="I98" s="63"/>
      <c r="J98" s="63"/>
      <c r="K98" s="63"/>
      <c r="L98" s="63"/>
    </row>
    <row r="99" spans="2:12">
      <c r="B99" s="47" t="s">
        <v>3488</v>
      </c>
      <c r="C99" s="44" t="s">
        <v>2878</v>
      </c>
      <c r="D99" s="56"/>
      <c r="E99" s="66"/>
      <c r="F99" s="66"/>
      <c r="G99" s="66"/>
      <c r="H99" s="66"/>
      <c r="I99" s="66"/>
      <c r="J99" s="66"/>
      <c r="K99" s="66"/>
      <c r="L99" s="57"/>
    </row>
    <row r="100" spans="2:12">
      <c r="B100" s="49" t="s">
        <v>3520</v>
      </c>
      <c r="C100" s="41" t="s">
        <v>3530</v>
      </c>
      <c r="D100" s="60"/>
      <c r="E100" s="60"/>
      <c r="F100" s="60"/>
      <c r="G100" s="60"/>
      <c r="H100" s="60"/>
      <c r="I100" s="60"/>
      <c r="J100" s="60"/>
      <c r="K100" s="60"/>
      <c r="L100" s="60"/>
    </row>
    <row r="101" spans="2:12">
      <c r="B101" s="49" t="s">
        <v>3485</v>
      </c>
      <c r="C101" s="41" t="s">
        <v>3531</v>
      </c>
      <c r="D101" s="60"/>
      <c r="E101" s="60"/>
      <c r="F101" s="60"/>
      <c r="G101" s="60"/>
      <c r="H101" s="60"/>
      <c r="I101" s="60"/>
      <c r="J101" s="60"/>
      <c r="K101" s="60"/>
      <c r="L101" s="60"/>
    </row>
    <row r="102" spans="2:12">
      <c r="B102" s="49" t="s">
        <v>3486</v>
      </c>
      <c r="C102" s="41" t="s">
        <v>3532</v>
      </c>
      <c r="D102" s="60"/>
      <c r="E102" s="60"/>
      <c r="F102" s="60"/>
      <c r="G102" s="60"/>
      <c r="H102" s="60"/>
      <c r="I102" s="60"/>
      <c r="J102" s="60"/>
      <c r="K102" s="60"/>
      <c r="L102" s="60"/>
    </row>
    <row r="103" spans="2:12">
      <c r="B103" s="47" t="s">
        <v>3490</v>
      </c>
      <c r="C103" s="41" t="s">
        <v>3533</v>
      </c>
      <c r="D103" s="63"/>
      <c r="E103" s="63"/>
      <c r="F103" s="63"/>
      <c r="G103" s="63"/>
      <c r="H103" s="63"/>
      <c r="I103" s="63"/>
      <c r="J103" s="63"/>
      <c r="K103" s="63"/>
      <c r="L103" s="63"/>
    </row>
    <row r="104" spans="2:12">
      <c r="B104" s="49" t="s">
        <v>3491</v>
      </c>
      <c r="C104" s="44" t="s">
        <v>2878</v>
      </c>
      <c r="D104" s="56"/>
      <c r="E104" s="66"/>
      <c r="F104" s="66"/>
      <c r="G104" s="66"/>
      <c r="H104" s="66"/>
      <c r="I104" s="66"/>
      <c r="J104" s="66"/>
      <c r="K104" s="66"/>
      <c r="L104" s="57"/>
    </row>
    <row r="105" spans="2:12">
      <c r="B105" s="61" t="s">
        <v>3520</v>
      </c>
      <c r="C105" s="41" t="s">
        <v>3534</v>
      </c>
      <c r="D105" s="60"/>
      <c r="E105" s="60"/>
      <c r="F105" s="60"/>
      <c r="G105" s="60"/>
      <c r="H105" s="60"/>
      <c r="I105" s="60"/>
      <c r="J105" s="60"/>
      <c r="K105" s="60"/>
      <c r="L105" s="60"/>
    </row>
    <row r="106" spans="2:12">
      <c r="B106" s="61" t="s">
        <v>3485</v>
      </c>
      <c r="C106" s="41" t="s">
        <v>3535</v>
      </c>
      <c r="D106" s="60"/>
      <c r="E106" s="60"/>
      <c r="F106" s="60"/>
      <c r="G106" s="60"/>
      <c r="H106" s="60"/>
      <c r="I106" s="60"/>
      <c r="J106" s="60"/>
      <c r="K106" s="60"/>
      <c r="L106" s="60"/>
    </row>
    <row r="107" spans="2:12">
      <c r="B107" s="61" t="s">
        <v>3486</v>
      </c>
      <c r="C107" s="41" t="s">
        <v>3536</v>
      </c>
      <c r="D107" s="63"/>
      <c r="E107" s="63"/>
      <c r="F107" s="63"/>
      <c r="G107" s="63"/>
      <c r="H107" s="63"/>
      <c r="I107" s="63"/>
      <c r="J107" s="63"/>
      <c r="K107" s="63"/>
      <c r="L107" s="63"/>
    </row>
    <row r="108" spans="2:12">
      <c r="B108" s="49" t="s">
        <v>3492</v>
      </c>
      <c r="C108" s="44" t="s">
        <v>2878</v>
      </c>
      <c r="D108" s="56"/>
      <c r="E108" s="66"/>
      <c r="F108" s="66"/>
      <c r="G108" s="66"/>
      <c r="H108" s="66"/>
      <c r="I108" s="66"/>
      <c r="J108" s="66"/>
      <c r="K108" s="66"/>
      <c r="L108" s="57"/>
    </row>
    <row r="109" spans="2:12">
      <c r="B109" s="61" t="s">
        <v>3520</v>
      </c>
      <c r="C109" s="41" t="s">
        <v>3537</v>
      </c>
      <c r="D109" s="60"/>
      <c r="E109" s="60"/>
      <c r="F109" s="60"/>
      <c r="G109" s="60"/>
      <c r="H109" s="60"/>
      <c r="I109" s="60"/>
      <c r="J109" s="60"/>
      <c r="K109" s="60"/>
      <c r="L109" s="60"/>
    </row>
    <row r="110" spans="2:12">
      <c r="B110" s="61" t="s">
        <v>3485</v>
      </c>
      <c r="C110" s="41" t="s">
        <v>3538</v>
      </c>
      <c r="D110" s="60"/>
      <c r="E110" s="60"/>
      <c r="F110" s="60"/>
      <c r="G110" s="60"/>
      <c r="H110" s="60"/>
      <c r="I110" s="60"/>
      <c r="J110" s="60"/>
      <c r="K110" s="60"/>
      <c r="L110" s="60"/>
    </row>
    <row r="111" spans="2:12">
      <c r="B111" s="61" t="s">
        <v>3486</v>
      </c>
      <c r="C111" s="41" t="s">
        <v>3539</v>
      </c>
      <c r="D111" s="63"/>
      <c r="E111" s="63"/>
      <c r="F111" s="63"/>
      <c r="G111" s="63"/>
      <c r="H111" s="63"/>
      <c r="I111" s="63"/>
      <c r="J111" s="63"/>
      <c r="K111" s="63"/>
      <c r="L111" s="63"/>
    </row>
    <row r="112" spans="2:12">
      <c r="B112" s="49" t="s">
        <v>3493</v>
      </c>
      <c r="C112" s="44" t="s">
        <v>2878</v>
      </c>
      <c r="D112" s="56"/>
      <c r="E112" s="66"/>
      <c r="F112" s="66"/>
      <c r="G112" s="66"/>
      <c r="H112" s="66"/>
      <c r="I112" s="66"/>
      <c r="J112" s="66"/>
      <c r="K112" s="66"/>
      <c r="L112" s="57"/>
    </row>
    <row r="113" spans="2:28">
      <c r="B113" s="61" t="s">
        <v>3520</v>
      </c>
      <c r="C113" s="41" t="s">
        <v>3540</v>
      </c>
      <c r="D113" s="60"/>
      <c r="E113" s="60"/>
      <c r="F113" s="60"/>
      <c r="G113" s="60"/>
      <c r="H113" s="60"/>
      <c r="I113" s="60"/>
      <c r="J113" s="60"/>
      <c r="K113" s="60"/>
      <c r="L113" s="60"/>
    </row>
    <row r="114" spans="2:28">
      <c r="B114" s="61" t="s">
        <v>3485</v>
      </c>
      <c r="C114" s="41" t="s">
        <v>3541</v>
      </c>
      <c r="D114" s="60"/>
      <c r="E114" s="60"/>
      <c r="F114" s="60"/>
      <c r="G114" s="60"/>
      <c r="H114" s="60"/>
      <c r="I114" s="60"/>
      <c r="J114" s="60"/>
      <c r="K114" s="60"/>
      <c r="L114" s="60"/>
    </row>
    <row r="115" spans="2:28">
      <c r="B115" s="61" t="s">
        <v>3486</v>
      </c>
      <c r="C115" s="41" t="s">
        <v>3542</v>
      </c>
      <c r="D115" s="63"/>
      <c r="E115" s="63"/>
      <c r="F115" s="63"/>
      <c r="G115" s="63"/>
      <c r="H115" s="63"/>
      <c r="I115" s="63"/>
      <c r="J115" s="63"/>
      <c r="K115" s="63"/>
      <c r="L115" s="63"/>
    </row>
    <row r="116" spans="2:28">
      <c r="B116" s="49" t="s">
        <v>3494</v>
      </c>
      <c r="C116" s="44" t="s">
        <v>2878</v>
      </c>
      <c r="D116" s="56"/>
      <c r="E116" s="66"/>
      <c r="F116" s="66"/>
      <c r="G116" s="66"/>
      <c r="H116" s="66"/>
      <c r="I116" s="66"/>
      <c r="J116" s="66"/>
      <c r="K116" s="66"/>
      <c r="L116" s="57"/>
    </row>
    <row r="117" spans="2:28">
      <c r="B117" s="61" t="s">
        <v>3520</v>
      </c>
      <c r="C117" s="41" t="s">
        <v>3543</v>
      </c>
      <c r="D117" s="60"/>
      <c r="E117" s="60"/>
      <c r="F117" s="60"/>
      <c r="G117" s="60"/>
      <c r="H117" s="60"/>
      <c r="I117" s="60"/>
      <c r="J117" s="60"/>
      <c r="K117" s="60"/>
      <c r="L117" s="60"/>
    </row>
    <row r="118" spans="2:28">
      <c r="B118" s="61" t="s">
        <v>3485</v>
      </c>
      <c r="C118" s="41" t="s">
        <v>3544</v>
      </c>
      <c r="D118" s="60"/>
      <c r="E118" s="60"/>
      <c r="F118" s="60"/>
      <c r="G118" s="60"/>
      <c r="H118" s="60"/>
      <c r="I118" s="60"/>
      <c r="J118" s="60"/>
      <c r="K118" s="60"/>
      <c r="L118" s="60"/>
    </row>
    <row r="119" spans="2:28">
      <c r="B119" s="61" t="s">
        <v>3486</v>
      </c>
      <c r="C119" s="41" t="s">
        <v>3545</v>
      </c>
      <c r="D119" s="63"/>
      <c r="E119" s="63"/>
      <c r="F119" s="63"/>
      <c r="G119" s="63"/>
      <c r="H119" s="63"/>
      <c r="I119" s="63"/>
      <c r="J119" s="63"/>
      <c r="K119" s="63"/>
      <c r="L119" s="63"/>
    </row>
    <row r="120" spans="2:28">
      <c r="B120" s="49" t="s">
        <v>3495</v>
      </c>
      <c r="C120" s="44" t="s">
        <v>2878</v>
      </c>
      <c r="D120" s="56"/>
      <c r="E120" s="66"/>
      <c r="F120" s="66"/>
      <c r="G120" s="66"/>
      <c r="H120" s="66"/>
      <c r="I120" s="66"/>
      <c r="J120" s="66"/>
      <c r="K120" s="66"/>
      <c r="L120" s="57"/>
    </row>
    <row r="121" spans="2:28">
      <c r="B121" s="61" t="s">
        <v>3520</v>
      </c>
      <c r="C121" s="41" t="s">
        <v>3546</v>
      </c>
      <c r="D121" s="60"/>
      <c r="E121" s="60"/>
      <c r="F121" s="60"/>
      <c r="G121" s="60"/>
      <c r="H121" s="60"/>
      <c r="I121" s="60"/>
      <c r="J121" s="60"/>
      <c r="K121" s="60"/>
      <c r="L121" s="60"/>
    </row>
    <row r="122" spans="2:28">
      <c r="B122" s="61" t="s">
        <v>3485</v>
      </c>
      <c r="C122" s="41" t="s">
        <v>3547</v>
      </c>
      <c r="D122" s="60"/>
      <c r="E122" s="60"/>
      <c r="F122" s="60"/>
      <c r="G122" s="60"/>
      <c r="H122" s="60"/>
      <c r="I122" s="60"/>
      <c r="J122" s="60"/>
      <c r="K122" s="60"/>
      <c r="L122" s="60"/>
    </row>
    <row r="123" spans="2:28">
      <c r="B123" s="61" t="s">
        <v>3486</v>
      </c>
      <c r="C123" s="41" t="s">
        <v>3548</v>
      </c>
      <c r="D123" s="63"/>
      <c r="E123" s="63"/>
      <c r="F123" s="63"/>
      <c r="G123" s="63"/>
      <c r="H123" s="63"/>
      <c r="I123" s="63"/>
      <c r="J123" s="63"/>
      <c r="K123" s="63"/>
      <c r="L123" s="60"/>
    </row>
    <row r="124" spans="2:28">
      <c r="B124" s="47" t="s">
        <v>3501</v>
      </c>
      <c r="C124" s="44" t="s">
        <v>3549</v>
      </c>
      <c r="D124" s="58"/>
      <c r="E124" s="58"/>
      <c r="F124" s="58"/>
      <c r="G124" s="58"/>
      <c r="H124" s="58"/>
      <c r="I124" s="58"/>
      <c r="J124" s="58"/>
      <c r="K124" s="48"/>
      <c r="L124" s="60"/>
    </row>
    <row r="125" spans="2:28">
      <c r="B125" s="47" t="s">
        <v>3503</v>
      </c>
      <c r="C125" s="44" t="s">
        <v>3550</v>
      </c>
      <c r="D125" s="56"/>
      <c r="E125" s="56"/>
      <c r="F125" s="56"/>
      <c r="G125" s="56"/>
      <c r="H125" s="56"/>
      <c r="I125" s="56"/>
      <c r="J125" s="56"/>
      <c r="K125" s="46"/>
      <c r="L125" s="60"/>
    </row>
    <row r="126" spans="2:28">
      <c r="B126" s="47" t="s">
        <v>3551</v>
      </c>
      <c r="C126" s="41" t="s">
        <v>3552</v>
      </c>
      <c r="D126" s="60"/>
      <c r="E126" s="60"/>
      <c r="F126" s="60"/>
      <c r="G126" s="60"/>
      <c r="H126" s="60"/>
      <c r="I126" s="60"/>
      <c r="J126" s="60"/>
      <c r="K126" s="60"/>
      <c r="L126" s="60"/>
    </row>
    <row r="128" spans="2:28">
      <c r="AA128" s="13" t="str">
        <f>Show!$B$46&amp;Show!$B$46&amp;"S.05.01.01.02 Rows {"&amp;COLUMN($C$1)&amp;"}"</f>
        <v>!!S.05.01.01.02 Rows {3}</v>
      </c>
      <c r="AB128" s="13" t="str">
        <f>Show!$B$46&amp;Show!$B$46&amp;"S.05.01.01.02 Columns {"&amp;COLUMN($L$1)&amp;"}"</f>
        <v>!!S.05.01.01.02 Columns {12}</v>
      </c>
    </row>
  </sheetData>
  <sheetProtection sheet="1" objects="1" scenarios="1"/>
  <mergeCells count="35">
    <mergeCell ref="J12:J13"/>
    <mergeCell ref="K12:K13"/>
    <mergeCell ref="L12:L13"/>
    <mergeCell ref="O12:O13"/>
    <mergeCell ref="P12:P13"/>
    <mergeCell ref="N12:N13"/>
    <mergeCell ref="Q12:Q13"/>
    <mergeCell ref="B2:O2"/>
    <mergeCell ref="B5:L5"/>
    <mergeCell ref="D9:T10"/>
    <mergeCell ref="D11:O11"/>
    <mergeCell ref="P11:S11"/>
    <mergeCell ref="T11:T13"/>
    <mergeCell ref="D12:D13"/>
    <mergeCell ref="E12:E13"/>
    <mergeCell ref="F12:F13"/>
    <mergeCell ref="G12:G13"/>
    <mergeCell ref="S12:S13"/>
    <mergeCell ref="H12:H13"/>
    <mergeCell ref="I12:I13"/>
    <mergeCell ref="R12:R13"/>
    <mergeCell ref="M12:M13"/>
    <mergeCell ref="I83:I84"/>
    <mergeCell ref="J83:J84"/>
    <mergeCell ref="K83:K84"/>
    <mergeCell ref="B76:L76"/>
    <mergeCell ref="D80:L81"/>
    <mergeCell ref="D82:I82"/>
    <mergeCell ref="J82:K82"/>
    <mergeCell ref="L82:L84"/>
    <mergeCell ref="D83:D84"/>
    <mergeCell ref="E83:E84"/>
    <mergeCell ref="F83:F84"/>
    <mergeCell ref="G83:G84"/>
    <mergeCell ref="H83:H84"/>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5321A-36E6-473F-ACD5-B86C85DDD029}">
  <sheetPr codeName="Blad51"/>
  <dimension ref="B2:AB75"/>
  <sheetViews>
    <sheetView showGridLines="0" workbookViewId="0">
      <selection activeCell="D38" sqref="D38"/>
    </sheetView>
  </sheetViews>
  <sheetFormatPr defaultRowHeight="15"/>
  <cols>
    <col min="2" max="2" width="47.42578125" bestFit="1" customWidth="1"/>
    <col min="4" max="20" width="15.7109375" customWidth="1"/>
  </cols>
  <sheetData>
    <row r="2" spans="2:28" ht="23.25">
      <c r="B2" s="86" t="s">
        <v>578</v>
      </c>
      <c r="C2" s="87"/>
      <c r="D2" s="87"/>
      <c r="E2" s="87"/>
      <c r="F2" s="87"/>
      <c r="G2" s="87"/>
      <c r="H2" s="87"/>
      <c r="I2" s="87"/>
      <c r="J2" s="87"/>
      <c r="K2" s="87"/>
      <c r="L2" s="87"/>
      <c r="M2" s="87"/>
      <c r="N2" s="87"/>
      <c r="O2" s="87"/>
    </row>
    <row r="5" spans="2:28" ht="18.75">
      <c r="B5" s="88" t="s">
        <v>3553</v>
      </c>
      <c r="C5" s="87"/>
      <c r="D5" s="87"/>
      <c r="E5" s="87"/>
      <c r="F5" s="87"/>
      <c r="G5" s="87"/>
      <c r="H5" s="87"/>
      <c r="I5" s="87"/>
      <c r="J5" s="87"/>
      <c r="K5" s="87"/>
      <c r="L5" s="87"/>
    </row>
    <row r="9" spans="2:28">
      <c r="D9" s="92" t="s">
        <v>2877</v>
      </c>
      <c r="E9" s="93"/>
      <c r="F9" s="93"/>
      <c r="G9" s="93"/>
      <c r="H9" s="93"/>
      <c r="I9" s="93"/>
      <c r="J9" s="93"/>
      <c r="K9" s="93"/>
      <c r="L9" s="93"/>
      <c r="M9" s="93"/>
      <c r="N9" s="93"/>
      <c r="O9" s="93"/>
      <c r="P9" s="93"/>
      <c r="Q9" s="93"/>
      <c r="R9" s="93"/>
      <c r="S9" s="93"/>
      <c r="T9" s="94"/>
    </row>
    <row r="10" spans="2:28">
      <c r="D10" s="95"/>
      <c r="E10" s="96"/>
      <c r="F10" s="96"/>
      <c r="G10" s="96"/>
      <c r="H10" s="96"/>
      <c r="I10" s="96"/>
      <c r="J10" s="96"/>
      <c r="K10" s="96"/>
      <c r="L10" s="96"/>
      <c r="M10" s="96"/>
      <c r="N10" s="96"/>
      <c r="O10" s="96"/>
      <c r="P10" s="96"/>
      <c r="Q10" s="96"/>
      <c r="R10" s="96"/>
      <c r="S10" s="96"/>
      <c r="T10" s="97"/>
    </row>
    <row r="11" spans="2:28">
      <c r="D11" s="98" t="s">
        <v>3459</v>
      </c>
      <c r="E11" s="100"/>
      <c r="F11" s="100"/>
      <c r="G11" s="100"/>
      <c r="H11" s="100"/>
      <c r="I11" s="100"/>
      <c r="J11" s="100"/>
      <c r="K11" s="100"/>
      <c r="L11" s="100"/>
      <c r="M11" s="100"/>
      <c r="N11" s="100"/>
      <c r="O11" s="99"/>
      <c r="P11" s="98" t="s">
        <v>3472</v>
      </c>
      <c r="Q11" s="100"/>
      <c r="R11" s="100"/>
      <c r="S11" s="99"/>
      <c r="T11" s="89" t="s">
        <v>3480</v>
      </c>
    </row>
    <row r="12" spans="2:28" ht="60">
      <c r="D12" s="55" t="s">
        <v>3460</v>
      </c>
      <c r="E12" s="55" t="s">
        <v>3461</v>
      </c>
      <c r="F12" s="55" t="s">
        <v>3462</v>
      </c>
      <c r="G12" s="55" t="s">
        <v>3463</v>
      </c>
      <c r="H12" s="55" t="s">
        <v>3464</v>
      </c>
      <c r="I12" s="55" t="s">
        <v>3465</v>
      </c>
      <c r="J12" s="55" t="s">
        <v>3466</v>
      </c>
      <c r="K12" s="55" t="s">
        <v>3467</v>
      </c>
      <c r="L12" s="55" t="s">
        <v>3468</v>
      </c>
      <c r="M12" s="55" t="s">
        <v>3469</v>
      </c>
      <c r="N12" s="55" t="s">
        <v>3470</v>
      </c>
      <c r="O12" s="55" t="s">
        <v>3471</v>
      </c>
      <c r="P12" s="55" t="s">
        <v>3473</v>
      </c>
      <c r="Q12" s="55" t="s">
        <v>3474</v>
      </c>
      <c r="R12" s="55" t="s">
        <v>3476</v>
      </c>
      <c r="S12" s="55" t="s">
        <v>3478</v>
      </c>
      <c r="T12" s="91"/>
    </row>
    <row r="13" spans="2:28">
      <c r="D13" s="45" t="s">
        <v>2879</v>
      </c>
      <c r="E13" s="45" t="s">
        <v>3219</v>
      </c>
      <c r="F13" s="45" t="s">
        <v>3225</v>
      </c>
      <c r="G13" s="45" t="s">
        <v>3223</v>
      </c>
      <c r="H13" s="45" t="s">
        <v>3229</v>
      </c>
      <c r="I13" s="45" t="s">
        <v>3231</v>
      </c>
      <c r="J13" s="45" t="s">
        <v>3233</v>
      </c>
      <c r="K13" s="45" t="s">
        <v>3234</v>
      </c>
      <c r="L13" s="45" t="s">
        <v>3236</v>
      </c>
      <c r="M13" s="45" t="s">
        <v>3239</v>
      </c>
      <c r="N13" s="45" t="s">
        <v>3241</v>
      </c>
      <c r="O13" s="45" t="s">
        <v>3243</v>
      </c>
      <c r="P13" s="45" t="s">
        <v>3375</v>
      </c>
      <c r="Q13" s="45" t="s">
        <v>3475</v>
      </c>
      <c r="R13" s="45" t="s">
        <v>3477</v>
      </c>
      <c r="S13" s="45" t="s">
        <v>3479</v>
      </c>
      <c r="T13" s="45" t="s">
        <v>3481</v>
      </c>
      <c r="AA13" s="13"/>
      <c r="AB13" s="13"/>
    </row>
    <row r="14" spans="2:28">
      <c r="B14" s="43" t="s">
        <v>2880</v>
      </c>
      <c r="C14" s="44" t="s">
        <v>2878</v>
      </c>
      <c r="D14" s="58"/>
      <c r="E14" s="67"/>
      <c r="F14" s="67"/>
      <c r="G14" s="67"/>
      <c r="H14" s="67"/>
      <c r="I14" s="67"/>
      <c r="J14" s="67"/>
      <c r="K14" s="67"/>
      <c r="L14" s="67"/>
      <c r="M14" s="67"/>
      <c r="N14" s="67"/>
      <c r="O14" s="67"/>
      <c r="P14" s="67"/>
      <c r="Q14" s="67"/>
      <c r="R14" s="67"/>
      <c r="S14" s="67"/>
      <c r="T14" s="59"/>
    </row>
    <row r="15" spans="2:28">
      <c r="B15" s="47" t="s">
        <v>3437</v>
      </c>
      <c r="C15" s="44" t="s">
        <v>2878</v>
      </c>
      <c r="D15" s="56"/>
      <c r="E15" s="66"/>
      <c r="F15" s="66"/>
      <c r="G15" s="66"/>
      <c r="H15" s="66"/>
      <c r="I15" s="66"/>
      <c r="J15" s="66"/>
      <c r="K15" s="66"/>
      <c r="L15" s="66"/>
      <c r="M15" s="66"/>
      <c r="N15" s="66"/>
      <c r="O15" s="66"/>
      <c r="P15" s="67"/>
      <c r="Q15" s="67"/>
      <c r="R15" s="67"/>
      <c r="S15" s="67"/>
      <c r="T15" s="57"/>
    </row>
    <row r="16" spans="2:28">
      <c r="B16" s="49" t="s">
        <v>3482</v>
      </c>
      <c r="C16" s="41" t="s">
        <v>2901</v>
      </c>
      <c r="D16" s="60">
        <v>0</v>
      </c>
      <c r="E16" s="60">
        <v>0</v>
      </c>
      <c r="F16" s="60">
        <v>0</v>
      </c>
      <c r="G16" s="60">
        <v>0</v>
      </c>
      <c r="H16" s="60">
        <v>0</v>
      </c>
      <c r="I16" s="60">
        <v>0</v>
      </c>
      <c r="J16" s="60">
        <v>0</v>
      </c>
      <c r="K16" s="60">
        <v>0</v>
      </c>
      <c r="L16" s="60">
        <v>0</v>
      </c>
      <c r="M16" s="60">
        <v>0</v>
      </c>
      <c r="N16" s="60">
        <v>0</v>
      </c>
      <c r="O16" s="60">
        <v>0</v>
      </c>
      <c r="P16" s="58"/>
      <c r="Q16" s="58"/>
      <c r="R16" s="58"/>
      <c r="S16" s="48"/>
      <c r="T16" s="60">
        <v>0</v>
      </c>
    </row>
    <row r="17" spans="2:20">
      <c r="B17" s="49" t="s">
        <v>3483</v>
      </c>
      <c r="C17" s="41" t="s">
        <v>2903</v>
      </c>
      <c r="D17" s="60">
        <v>136791879.89000002</v>
      </c>
      <c r="E17" s="60">
        <v>24788832.21619672</v>
      </c>
      <c r="F17" s="60">
        <v>102636929.2525</v>
      </c>
      <c r="G17" s="60">
        <v>409671436.09290385</v>
      </c>
      <c r="H17" s="60">
        <v>167231830.96274328</v>
      </c>
      <c r="I17" s="60">
        <v>1382464.8125000002</v>
      </c>
      <c r="J17" s="60">
        <v>461674380.82755256</v>
      </c>
      <c r="K17" s="60">
        <v>75336256.300776541</v>
      </c>
      <c r="L17" s="60">
        <v>55073.920000000006</v>
      </c>
      <c r="M17" s="60">
        <v>30676090.497499999</v>
      </c>
      <c r="N17" s="60">
        <v>14362303.07049913</v>
      </c>
      <c r="O17" s="60">
        <v>19192589.022697549</v>
      </c>
      <c r="P17" s="56"/>
      <c r="Q17" s="56"/>
      <c r="R17" s="56"/>
      <c r="S17" s="46"/>
      <c r="T17" s="60">
        <v>1443800066.8658695</v>
      </c>
    </row>
    <row r="18" spans="2:20">
      <c r="B18" s="49" t="s">
        <v>3484</v>
      </c>
      <c r="C18" s="44" t="s">
        <v>2905</v>
      </c>
      <c r="D18" s="56"/>
      <c r="E18" s="56"/>
      <c r="F18" s="56"/>
      <c r="G18" s="56"/>
      <c r="H18" s="56"/>
      <c r="I18" s="56"/>
      <c r="J18" s="56"/>
      <c r="K18" s="56"/>
      <c r="L18" s="56"/>
      <c r="M18" s="56"/>
      <c r="N18" s="56"/>
      <c r="O18" s="46"/>
      <c r="P18" s="60">
        <v>802822.94000000006</v>
      </c>
      <c r="Q18" s="60">
        <v>45896512.530000001</v>
      </c>
      <c r="R18" s="60">
        <v>85948.430000000037</v>
      </c>
      <c r="S18" s="60">
        <v>55612770.420000002</v>
      </c>
      <c r="T18" s="60">
        <v>102398054.31999999</v>
      </c>
    </row>
    <row r="19" spans="2:20">
      <c r="B19" s="49" t="s">
        <v>3485</v>
      </c>
      <c r="C19" s="41" t="s">
        <v>2907</v>
      </c>
      <c r="D19" s="60">
        <v>0</v>
      </c>
      <c r="E19" s="60">
        <v>0</v>
      </c>
      <c r="F19" s="60">
        <v>0</v>
      </c>
      <c r="G19" s="60">
        <v>0</v>
      </c>
      <c r="H19" s="60">
        <v>0</v>
      </c>
      <c r="I19" s="60">
        <v>0</v>
      </c>
      <c r="J19" s="60">
        <v>0</v>
      </c>
      <c r="K19" s="60">
        <v>0</v>
      </c>
      <c r="L19" s="60">
        <v>0</v>
      </c>
      <c r="M19" s="60">
        <v>0</v>
      </c>
      <c r="N19" s="60">
        <v>0</v>
      </c>
      <c r="O19" s="60">
        <v>2590495.2199999997</v>
      </c>
      <c r="P19" s="60">
        <v>0</v>
      </c>
      <c r="Q19" s="60">
        <v>41015237.239999995</v>
      </c>
      <c r="R19" s="60">
        <v>81000</v>
      </c>
      <c r="S19" s="60">
        <v>48292311.609999999</v>
      </c>
      <c r="T19" s="60">
        <v>91979044.069999993</v>
      </c>
    </row>
    <row r="20" spans="2:20">
      <c r="B20" s="49" t="s">
        <v>3486</v>
      </c>
      <c r="C20" s="41" t="s">
        <v>2919</v>
      </c>
      <c r="D20" s="60">
        <v>136791879.89000002</v>
      </c>
      <c r="E20" s="60">
        <v>24788832.21619672</v>
      </c>
      <c r="F20" s="60">
        <v>102636929.2525</v>
      </c>
      <c r="G20" s="60">
        <v>409671436.09290385</v>
      </c>
      <c r="H20" s="60">
        <v>167231830.96274328</v>
      </c>
      <c r="I20" s="60">
        <v>1382464.8125000002</v>
      </c>
      <c r="J20" s="60">
        <v>461674380.82755256</v>
      </c>
      <c r="K20" s="60">
        <v>75336256.300776541</v>
      </c>
      <c r="L20" s="60">
        <v>55073.920000000006</v>
      </c>
      <c r="M20" s="60">
        <v>30676090.497499999</v>
      </c>
      <c r="N20" s="60">
        <v>14362303.07049913</v>
      </c>
      <c r="O20" s="60">
        <v>16602093.802697551</v>
      </c>
      <c r="P20" s="60">
        <v>802822.94000000006</v>
      </c>
      <c r="Q20" s="60">
        <v>4881275.2900000066</v>
      </c>
      <c r="R20" s="60">
        <v>4948.4300000000367</v>
      </c>
      <c r="S20" s="60">
        <v>7320458.8100000024</v>
      </c>
      <c r="T20" s="60">
        <v>1454219077.1158698</v>
      </c>
    </row>
    <row r="21" spans="2:20">
      <c r="B21" s="47" t="s">
        <v>3487</v>
      </c>
      <c r="C21" s="44" t="s">
        <v>2878</v>
      </c>
      <c r="D21" s="56"/>
      <c r="E21" s="66"/>
      <c r="F21" s="66"/>
      <c r="G21" s="66"/>
      <c r="H21" s="66"/>
      <c r="I21" s="66"/>
      <c r="J21" s="66"/>
      <c r="K21" s="66"/>
      <c r="L21" s="66"/>
      <c r="M21" s="66"/>
      <c r="N21" s="66"/>
      <c r="O21" s="66"/>
      <c r="P21" s="67"/>
      <c r="Q21" s="67"/>
      <c r="R21" s="67"/>
      <c r="S21" s="67"/>
      <c r="T21" s="57"/>
    </row>
    <row r="22" spans="2:20">
      <c r="B22" s="49" t="s">
        <v>3482</v>
      </c>
      <c r="C22" s="41" t="s">
        <v>2921</v>
      </c>
      <c r="D22" s="60">
        <v>0</v>
      </c>
      <c r="E22" s="60">
        <v>0</v>
      </c>
      <c r="F22" s="60">
        <v>0</v>
      </c>
      <c r="G22" s="60">
        <v>0</v>
      </c>
      <c r="H22" s="60">
        <v>0</v>
      </c>
      <c r="I22" s="60">
        <v>0</v>
      </c>
      <c r="J22" s="60">
        <v>0</v>
      </c>
      <c r="K22" s="60">
        <v>0</v>
      </c>
      <c r="L22" s="60">
        <v>0</v>
      </c>
      <c r="M22" s="60">
        <v>0</v>
      </c>
      <c r="N22" s="60">
        <v>0</v>
      </c>
      <c r="O22" s="60">
        <v>0</v>
      </c>
      <c r="P22" s="58"/>
      <c r="Q22" s="58"/>
      <c r="R22" s="58"/>
      <c r="S22" s="48"/>
      <c r="T22" s="60">
        <v>0</v>
      </c>
    </row>
    <row r="23" spans="2:20">
      <c r="B23" s="49" t="s">
        <v>3483</v>
      </c>
      <c r="C23" s="41" t="s">
        <v>2923</v>
      </c>
      <c r="D23" s="60">
        <v>135640209.64000005</v>
      </c>
      <c r="E23" s="60">
        <v>24835695.03380277</v>
      </c>
      <c r="F23" s="60">
        <v>102773218.3725</v>
      </c>
      <c r="G23" s="60">
        <v>412404835.08120513</v>
      </c>
      <c r="H23" s="60">
        <v>170553538.01946312</v>
      </c>
      <c r="I23" s="60">
        <v>1211480.8675000004</v>
      </c>
      <c r="J23" s="60">
        <v>478968573.71893108</v>
      </c>
      <c r="K23" s="60">
        <v>74565035.693305358</v>
      </c>
      <c r="L23" s="60">
        <v>91611.43</v>
      </c>
      <c r="M23" s="60">
        <v>29498512.152499996</v>
      </c>
      <c r="N23" s="60">
        <v>10898902.808750335</v>
      </c>
      <c r="O23" s="60">
        <v>19004864.234215368</v>
      </c>
      <c r="P23" s="56"/>
      <c r="Q23" s="56"/>
      <c r="R23" s="56"/>
      <c r="S23" s="46"/>
      <c r="T23" s="60">
        <v>1460446477.0521729</v>
      </c>
    </row>
    <row r="24" spans="2:20">
      <c r="B24" s="49" t="s">
        <v>3484</v>
      </c>
      <c r="C24" s="44" t="s">
        <v>2925</v>
      </c>
      <c r="D24" s="56"/>
      <c r="E24" s="56"/>
      <c r="F24" s="56"/>
      <c r="G24" s="56"/>
      <c r="H24" s="56"/>
      <c r="I24" s="56"/>
      <c r="J24" s="56"/>
      <c r="K24" s="56"/>
      <c r="L24" s="56"/>
      <c r="M24" s="56"/>
      <c r="N24" s="56"/>
      <c r="O24" s="46"/>
      <c r="P24" s="60">
        <v>801812.26000000036</v>
      </c>
      <c r="Q24" s="60">
        <v>44681406.919999987</v>
      </c>
      <c r="R24" s="60">
        <v>82427.930000000037</v>
      </c>
      <c r="S24" s="60">
        <v>55339695.580000035</v>
      </c>
      <c r="T24" s="60">
        <v>100905342.69000003</v>
      </c>
    </row>
    <row r="25" spans="2:20">
      <c r="B25" s="49" t="s">
        <v>3485</v>
      </c>
      <c r="C25" s="41" t="s">
        <v>2927</v>
      </c>
      <c r="D25" s="60">
        <v>0</v>
      </c>
      <c r="E25" s="60">
        <v>0</v>
      </c>
      <c r="F25" s="60">
        <v>0</v>
      </c>
      <c r="G25" s="60">
        <v>0</v>
      </c>
      <c r="H25" s="60">
        <v>0</v>
      </c>
      <c r="I25" s="60">
        <v>0</v>
      </c>
      <c r="J25" s="60">
        <v>0</v>
      </c>
      <c r="K25" s="60">
        <v>0</v>
      </c>
      <c r="L25" s="60">
        <v>0</v>
      </c>
      <c r="M25" s="60">
        <v>0</v>
      </c>
      <c r="N25" s="60">
        <v>0</v>
      </c>
      <c r="O25" s="60">
        <v>2683283.9499999997</v>
      </c>
      <c r="P25" s="60">
        <v>0</v>
      </c>
      <c r="Q25" s="60">
        <v>39929980.590000004</v>
      </c>
      <c r="R25" s="60">
        <v>80499.990000000005</v>
      </c>
      <c r="S25" s="60">
        <v>47868177.560000025</v>
      </c>
      <c r="T25" s="60">
        <v>90561942.090000033</v>
      </c>
    </row>
    <row r="26" spans="2:20">
      <c r="B26" s="49" t="s">
        <v>3486</v>
      </c>
      <c r="C26" s="41" t="s">
        <v>2939</v>
      </c>
      <c r="D26" s="60">
        <v>135640209.64000005</v>
      </c>
      <c r="E26" s="60">
        <v>24835695.03380277</v>
      </c>
      <c r="F26" s="60">
        <v>102773218.3725</v>
      </c>
      <c r="G26" s="60">
        <v>412404835.08120513</v>
      </c>
      <c r="H26" s="60">
        <v>170553538.01946312</v>
      </c>
      <c r="I26" s="60">
        <v>1211480.8675000004</v>
      </c>
      <c r="J26" s="60">
        <v>478968573.71893108</v>
      </c>
      <c r="K26" s="60">
        <v>74565035.693305358</v>
      </c>
      <c r="L26" s="60">
        <v>91611.43</v>
      </c>
      <c r="M26" s="60">
        <v>29498512.152499996</v>
      </c>
      <c r="N26" s="60">
        <v>10898902.808750335</v>
      </c>
      <c r="O26" s="60">
        <v>16321580.284215366</v>
      </c>
      <c r="P26" s="60">
        <v>801812.26000000036</v>
      </c>
      <c r="Q26" s="60">
        <v>4751426.3299999833</v>
      </c>
      <c r="R26" s="60">
        <v>1927.9400000000314</v>
      </c>
      <c r="S26" s="60">
        <v>7471518.0200000107</v>
      </c>
      <c r="T26" s="60">
        <v>1470789877.652173</v>
      </c>
    </row>
    <row r="27" spans="2:20">
      <c r="B27" s="47" t="s">
        <v>3438</v>
      </c>
      <c r="C27" s="44" t="s">
        <v>2878</v>
      </c>
      <c r="D27" s="56"/>
      <c r="E27" s="66"/>
      <c r="F27" s="66"/>
      <c r="G27" s="66"/>
      <c r="H27" s="66"/>
      <c r="I27" s="66"/>
      <c r="J27" s="66"/>
      <c r="K27" s="66"/>
      <c r="L27" s="66"/>
      <c r="M27" s="66"/>
      <c r="N27" s="66"/>
      <c r="O27" s="66"/>
      <c r="P27" s="67"/>
      <c r="Q27" s="67"/>
      <c r="R27" s="67"/>
      <c r="S27" s="67"/>
      <c r="T27" s="57"/>
    </row>
    <row r="28" spans="2:20">
      <c r="B28" s="49" t="s">
        <v>3482</v>
      </c>
      <c r="C28" s="41" t="s">
        <v>2941</v>
      </c>
      <c r="D28" s="60">
        <v>0</v>
      </c>
      <c r="E28" s="60">
        <v>0</v>
      </c>
      <c r="F28" s="60">
        <v>0</v>
      </c>
      <c r="G28" s="60">
        <v>0</v>
      </c>
      <c r="H28" s="60">
        <v>0</v>
      </c>
      <c r="I28" s="60">
        <v>0</v>
      </c>
      <c r="J28" s="60">
        <v>0</v>
      </c>
      <c r="K28" s="60">
        <v>0</v>
      </c>
      <c r="L28" s="60">
        <v>0</v>
      </c>
      <c r="M28" s="60">
        <v>0</v>
      </c>
      <c r="N28" s="60">
        <v>0</v>
      </c>
      <c r="O28" s="60">
        <v>0</v>
      </c>
      <c r="P28" s="58"/>
      <c r="Q28" s="58"/>
      <c r="R28" s="58"/>
      <c r="S28" s="48"/>
      <c r="T28" s="60">
        <v>0</v>
      </c>
    </row>
    <row r="29" spans="2:20">
      <c r="B29" s="49" t="s">
        <v>3483</v>
      </c>
      <c r="C29" s="41" t="s">
        <v>2943</v>
      </c>
      <c r="D29" s="60">
        <v>95292858.319999918</v>
      </c>
      <c r="E29" s="60">
        <v>8083563.9506880576</v>
      </c>
      <c r="F29" s="60">
        <v>79231999.169999957</v>
      </c>
      <c r="G29" s="60">
        <v>287062523.98553908</v>
      </c>
      <c r="H29" s="60">
        <v>105823838.33560443</v>
      </c>
      <c r="I29" s="60">
        <v>234933.78999999966</v>
      </c>
      <c r="J29" s="60">
        <v>282122304.52133882</v>
      </c>
      <c r="K29" s="60">
        <v>36754481.510535188</v>
      </c>
      <c r="L29" s="60">
        <v>-99596.999999999985</v>
      </c>
      <c r="M29" s="60">
        <v>14108895.6975</v>
      </c>
      <c r="N29" s="60">
        <v>5828380.1190286586</v>
      </c>
      <c r="O29" s="60">
        <v>4701481.5642137434</v>
      </c>
      <c r="P29" s="56"/>
      <c r="Q29" s="56"/>
      <c r="R29" s="56"/>
      <c r="S29" s="46"/>
      <c r="T29" s="60">
        <v>919145663.96444798</v>
      </c>
    </row>
    <row r="30" spans="2:20">
      <c r="B30" s="49" t="s">
        <v>3484</v>
      </c>
      <c r="C30" s="44" t="s">
        <v>2945</v>
      </c>
      <c r="D30" s="56"/>
      <c r="E30" s="56"/>
      <c r="F30" s="56"/>
      <c r="G30" s="56"/>
      <c r="H30" s="56"/>
      <c r="I30" s="56"/>
      <c r="J30" s="56"/>
      <c r="K30" s="56"/>
      <c r="L30" s="56"/>
      <c r="M30" s="56"/>
      <c r="N30" s="56"/>
      <c r="O30" s="46"/>
      <c r="P30" s="60">
        <v>563202.74</v>
      </c>
      <c r="Q30" s="60">
        <v>-7963413.660000002</v>
      </c>
      <c r="R30" s="60">
        <v>-221101.13279399971</v>
      </c>
      <c r="S30" s="60">
        <v>51699934.870000005</v>
      </c>
      <c r="T30" s="60">
        <v>44078622.817206003</v>
      </c>
    </row>
    <row r="31" spans="2:20">
      <c r="B31" s="49" t="s">
        <v>3485</v>
      </c>
      <c r="C31" s="41" t="s">
        <v>2947</v>
      </c>
      <c r="D31" s="60">
        <v>0</v>
      </c>
      <c r="E31" s="60">
        <v>0</v>
      </c>
      <c r="F31" s="60">
        <v>0</v>
      </c>
      <c r="G31" s="60">
        <v>0</v>
      </c>
      <c r="H31" s="60">
        <v>0</v>
      </c>
      <c r="I31" s="60">
        <v>0</v>
      </c>
      <c r="J31" s="60">
        <v>0</v>
      </c>
      <c r="K31" s="60">
        <v>0</v>
      </c>
      <c r="L31" s="60">
        <v>0</v>
      </c>
      <c r="M31" s="60">
        <v>0</v>
      </c>
      <c r="N31" s="60">
        <v>0</v>
      </c>
      <c r="O31" s="60">
        <v>721998.66999999993</v>
      </c>
      <c r="P31" s="60">
        <v>0</v>
      </c>
      <c r="Q31" s="60">
        <v>3387557.2600000002</v>
      </c>
      <c r="R31" s="60">
        <v>0</v>
      </c>
      <c r="S31" s="60">
        <v>34680672.699999996</v>
      </c>
      <c r="T31" s="60">
        <v>38790228.629999995</v>
      </c>
    </row>
    <row r="32" spans="2:20">
      <c r="B32" s="49" t="s">
        <v>3486</v>
      </c>
      <c r="C32" s="41" t="s">
        <v>2959</v>
      </c>
      <c r="D32" s="60">
        <v>95292858.319999918</v>
      </c>
      <c r="E32" s="60">
        <v>8083563.9506880576</v>
      </c>
      <c r="F32" s="60">
        <v>79231999.169999957</v>
      </c>
      <c r="G32" s="60">
        <v>287062523.98553908</v>
      </c>
      <c r="H32" s="60">
        <v>105823838.33560443</v>
      </c>
      <c r="I32" s="60">
        <v>234933.78999999966</v>
      </c>
      <c r="J32" s="60">
        <v>282122304.52133882</v>
      </c>
      <c r="K32" s="60">
        <v>36754481.510535188</v>
      </c>
      <c r="L32" s="60">
        <v>-99596.999999999985</v>
      </c>
      <c r="M32" s="60">
        <v>14108895.6975</v>
      </c>
      <c r="N32" s="60">
        <v>5828380.1190286586</v>
      </c>
      <c r="O32" s="60">
        <v>3979482.894213744</v>
      </c>
      <c r="P32" s="60">
        <v>563202.74</v>
      </c>
      <c r="Q32" s="60">
        <v>-11350970.920000002</v>
      </c>
      <c r="R32" s="60">
        <v>-221101.13279399971</v>
      </c>
      <c r="S32" s="60">
        <v>17019262.170000009</v>
      </c>
      <c r="T32" s="60">
        <v>924434058.15165401</v>
      </c>
    </row>
    <row r="33" spans="2:28">
      <c r="B33" s="47" t="s">
        <v>3488</v>
      </c>
      <c r="C33" s="44" t="s">
        <v>2878</v>
      </c>
      <c r="D33" s="56"/>
      <c r="E33" s="66"/>
      <c r="F33" s="66"/>
      <c r="G33" s="66"/>
      <c r="H33" s="66"/>
      <c r="I33" s="66"/>
      <c r="J33" s="66"/>
      <c r="K33" s="66"/>
      <c r="L33" s="66"/>
      <c r="M33" s="66"/>
      <c r="N33" s="66"/>
      <c r="O33" s="66"/>
      <c r="P33" s="67"/>
      <c r="Q33" s="67"/>
      <c r="R33" s="67"/>
      <c r="S33" s="67"/>
      <c r="T33" s="57"/>
    </row>
    <row r="34" spans="2:28">
      <c r="B34" s="49" t="s">
        <v>3482</v>
      </c>
      <c r="C34" s="41" t="s">
        <v>2961</v>
      </c>
      <c r="D34" s="60">
        <v>0</v>
      </c>
      <c r="E34" s="60">
        <v>0</v>
      </c>
      <c r="F34" s="60">
        <v>0</v>
      </c>
      <c r="G34" s="60">
        <v>0</v>
      </c>
      <c r="H34" s="60">
        <v>0</v>
      </c>
      <c r="I34" s="60">
        <v>0</v>
      </c>
      <c r="J34" s="60">
        <v>0</v>
      </c>
      <c r="K34" s="60">
        <v>0</v>
      </c>
      <c r="L34" s="60">
        <v>0</v>
      </c>
      <c r="M34" s="60">
        <v>0</v>
      </c>
      <c r="N34" s="60">
        <v>0</v>
      </c>
      <c r="O34" s="60">
        <v>0</v>
      </c>
      <c r="P34" s="58"/>
      <c r="Q34" s="58"/>
      <c r="R34" s="58"/>
      <c r="S34" s="48"/>
      <c r="T34" s="60">
        <v>0</v>
      </c>
    </row>
    <row r="35" spans="2:28">
      <c r="B35" s="49" t="s">
        <v>3483</v>
      </c>
      <c r="C35" s="41" t="s">
        <v>2963</v>
      </c>
      <c r="D35" s="60">
        <v>0</v>
      </c>
      <c r="E35" s="60">
        <v>0</v>
      </c>
      <c r="F35" s="60">
        <v>0</v>
      </c>
      <c r="G35" s="60">
        <v>0</v>
      </c>
      <c r="H35" s="60">
        <v>0</v>
      </c>
      <c r="I35" s="60">
        <v>0</v>
      </c>
      <c r="J35" s="60">
        <v>0</v>
      </c>
      <c r="K35" s="60">
        <v>0</v>
      </c>
      <c r="L35" s="60">
        <v>0</v>
      </c>
      <c r="M35" s="60">
        <v>0</v>
      </c>
      <c r="N35" s="60">
        <v>0</v>
      </c>
      <c r="O35" s="60">
        <v>0</v>
      </c>
      <c r="P35" s="56"/>
      <c r="Q35" s="56"/>
      <c r="R35" s="56"/>
      <c r="S35" s="46"/>
      <c r="T35" s="60">
        <v>0</v>
      </c>
    </row>
    <row r="36" spans="2:28">
      <c r="B36" s="49" t="s">
        <v>3484</v>
      </c>
      <c r="C36" s="44" t="s">
        <v>2965</v>
      </c>
      <c r="D36" s="56"/>
      <c r="E36" s="56"/>
      <c r="F36" s="56"/>
      <c r="G36" s="56"/>
      <c r="H36" s="56"/>
      <c r="I36" s="56"/>
      <c r="J36" s="56"/>
      <c r="K36" s="56"/>
      <c r="L36" s="56"/>
      <c r="M36" s="56"/>
      <c r="N36" s="56"/>
      <c r="O36" s="46"/>
      <c r="P36" s="60">
        <v>0</v>
      </c>
      <c r="Q36" s="60">
        <v>0</v>
      </c>
      <c r="R36" s="60">
        <v>0</v>
      </c>
      <c r="S36" s="60">
        <v>0</v>
      </c>
      <c r="T36" s="60">
        <v>0</v>
      </c>
    </row>
    <row r="37" spans="2:28">
      <c r="B37" s="49" t="s">
        <v>3485</v>
      </c>
      <c r="C37" s="41" t="s">
        <v>2967</v>
      </c>
      <c r="D37" s="60">
        <v>0</v>
      </c>
      <c r="E37" s="60">
        <v>0</v>
      </c>
      <c r="F37" s="60">
        <v>0</v>
      </c>
      <c r="G37" s="60">
        <v>0</v>
      </c>
      <c r="H37" s="60">
        <v>0</v>
      </c>
      <c r="I37" s="60">
        <v>0</v>
      </c>
      <c r="J37" s="60">
        <v>0</v>
      </c>
      <c r="K37" s="60">
        <v>0</v>
      </c>
      <c r="L37" s="60">
        <v>0</v>
      </c>
      <c r="M37" s="60">
        <v>0</v>
      </c>
      <c r="N37" s="60">
        <v>0</v>
      </c>
      <c r="O37" s="60">
        <v>0</v>
      </c>
      <c r="P37" s="60">
        <v>0</v>
      </c>
      <c r="Q37" s="60">
        <v>0</v>
      </c>
      <c r="R37" s="60">
        <v>0</v>
      </c>
      <c r="S37" s="60">
        <v>0</v>
      </c>
      <c r="T37" s="60">
        <v>0</v>
      </c>
    </row>
    <row r="38" spans="2:28">
      <c r="B38" s="49" t="s">
        <v>3486</v>
      </c>
      <c r="C38" s="41" t="s">
        <v>2977</v>
      </c>
      <c r="D38" s="60">
        <v>0</v>
      </c>
      <c r="E38" s="60">
        <v>0</v>
      </c>
      <c r="F38" s="60">
        <v>0</v>
      </c>
      <c r="G38" s="60">
        <v>0</v>
      </c>
      <c r="H38" s="60">
        <v>0</v>
      </c>
      <c r="I38" s="60">
        <v>0</v>
      </c>
      <c r="J38" s="60">
        <v>0</v>
      </c>
      <c r="K38" s="60">
        <v>0</v>
      </c>
      <c r="L38" s="60">
        <v>0</v>
      </c>
      <c r="M38" s="60">
        <v>0</v>
      </c>
      <c r="N38" s="60">
        <v>0</v>
      </c>
      <c r="O38" s="60">
        <v>0</v>
      </c>
      <c r="P38" s="60">
        <v>0</v>
      </c>
      <c r="Q38" s="60">
        <v>0</v>
      </c>
      <c r="R38" s="60">
        <v>0</v>
      </c>
      <c r="S38" s="60">
        <v>0</v>
      </c>
      <c r="T38" s="60">
        <v>0</v>
      </c>
    </row>
    <row r="39" spans="2:28">
      <c r="B39" s="47" t="s">
        <v>3490</v>
      </c>
      <c r="C39" s="41" t="s">
        <v>2987</v>
      </c>
      <c r="D39" s="60">
        <v>36785523.363924667</v>
      </c>
      <c r="E39" s="60">
        <v>6823258.0006255498</v>
      </c>
      <c r="F39" s="60">
        <v>29956511.934498023</v>
      </c>
      <c r="G39" s="60">
        <v>146582900.11419937</v>
      </c>
      <c r="H39" s="60">
        <v>69884654.922375754</v>
      </c>
      <c r="I39" s="60">
        <v>678301.65844984539</v>
      </c>
      <c r="J39" s="60">
        <v>189044559.367926</v>
      </c>
      <c r="K39" s="60">
        <v>30630465.669461999</v>
      </c>
      <c r="L39" s="60">
        <v>37945.073222755891</v>
      </c>
      <c r="M39" s="60">
        <v>14153754.017886968</v>
      </c>
      <c r="N39" s="60">
        <v>2007025.9328035775</v>
      </c>
      <c r="O39" s="60">
        <v>5856507.2869409081</v>
      </c>
      <c r="P39" s="60">
        <v>2854.170506344698</v>
      </c>
      <c r="Q39" s="60">
        <v>525627.94600722042</v>
      </c>
      <c r="R39" s="60">
        <v>-6899.1797104519492</v>
      </c>
      <c r="S39" s="60">
        <v>2362602.5114233759</v>
      </c>
      <c r="T39" s="60">
        <v>535325592.79054195</v>
      </c>
    </row>
    <row r="40" spans="2:28">
      <c r="B40" s="47" t="s">
        <v>3501</v>
      </c>
      <c r="C40" s="44" t="s">
        <v>3502</v>
      </c>
      <c r="D40" s="58"/>
      <c r="E40" s="58"/>
      <c r="F40" s="58"/>
      <c r="G40" s="58"/>
      <c r="H40" s="58"/>
      <c r="I40" s="58"/>
      <c r="J40" s="58"/>
      <c r="K40" s="58"/>
      <c r="L40" s="58"/>
      <c r="M40" s="58"/>
      <c r="N40" s="58"/>
      <c r="O40" s="58"/>
      <c r="P40" s="58"/>
      <c r="Q40" s="58"/>
      <c r="R40" s="58"/>
      <c r="S40" s="48"/>
      <c r="T40" s="60">
        <v>0</v>
      </c>
    </row>
    <row r="41" spans="2:28">
      <c r="B41" s="47" t="s">
        <v>3503</v>
      </c>
      <c r="C41" s="44" t="s">
        <v>3504</v>
      </c>
      <c r="D41" s="56"/>
      <c r="E41" s="56"/>
      <c r="F41" s="56"/>
      <c r="G41" s="56"/>
      <c r="H41" s="56"/>
      <c r="I41" s="56"/>
      <c r="J41" s="56"/>
      <c r="K41" s="56"/>
      <c r="L41" s="56"/>
      <c r="M41" s="56"/>
      <c r="N41" s="56"/>
      <c r="O41" s="56"/>
      <c r="P41" s="56"/>
      <c r="Q41" s="56"/>
      <c r="R41" s="56"/>
      <c r="S41" s="46"/>
      <c r="T41" s="60">
        <v>535325592.79054195</v>
      </c>
    </row>
    <row r="43" spans="2:28">
      <c r="AA43" s="13"/>
      <c r="AB43" s="13"/>
    </row>
    <row r="44" spans="2:28">
      <c r="T44" s="82"/>
    </row>
    <row r="45" spans="2:28" ht="18.75">
      <c r="B45" s="88" t="s">
        <v>3554</v>
      </c>
      <c r="C45" s="87"/>
      <c r="D45" s="87"/>
      <c r="E45" s="87"/>
      <c r="F45" s="87"/>
      <c r="G45" s="87"/>
      <c r="H45" s="87"/>
      <c r="I45" s="87"/>
      <c r="J45" s="87"/>
      <c r="K45" s="87"/>
      <c r="L45" s="87"/>
    </row>
    <row r="49" spans="2:28">
      <c r="D49" s="92" t="s">
        <v>2877</v>
      </c>
      <c r="E49" s="93"/>
      <c r="F49" s="93"/>
      <c r="G49" s="93"/>
      <c r="H49" s="93"/>
      <c r="I49" s="93"/>
      <c r="J49" s="93"/>
      <c r="K49" s="93"/>
      <c r="L49" s="94"/>
    </row>
    <row r="50" spans="2:28">
      <c r="D50" s="95"/>
      <c r="E50" s="96"/>
      <c r="F50" s="96"/>
      <c r="G50" s="96"/>
      <c r="H50" s="96"/>
      <c r="I50" s="96"/>
      <c r="J50" s="96"/>
      <c r="K50" s="96"/>
      <c r="L50" s="97"/>
    </row>
    <row r="51" spans="2:28">
      <c r="D51" s="98" t="s">
        <v>3506</v>
      </c>
      <c r="E51" s="100"/>
      <c r="F51" s="100"/>
      <c r="G51" s="100"/>
      <c r="H51" s="100"/>
      <c r="I51" s="99"/>
      <c r="J51" s="98" t="s">
        <v>3516</v>
      </c>
      <c r="K51" s="99"/>
      <c r="L51" s="89" t="s">
        <v>3480</v>
      </c>
    </row>
    <row r="52" spans="2:28" ht="180">
      <c r="D52" s="55" t="s">
        <v>3507</v>
      </c>
      <c r="E52" s="55" t="s">
        <v>1264</v>
      </c>
      <c r="F52" s="55" t="s">
        <v>3510</v>
      </c>
      <c r="G52" s="55" t="s">
        <v>3512</v>
      </c>
      <c r="H52" s="55" t="s">
        <v>1267</v>
      </c>
      <c r="I52" s="55" t="s">
        <v>1268</v>
      </c>
      <c r="J52" s="55" t="s">
        <v>1269</v>
      </c>
      <c r="K52" s="55" t="s">
        <v>1270</v>
      </c>
      <c r="L52" s="91"/>
    </row>
    <row r="53" spans="2:28">
      <c r="D53" s="45" t="s">
        <v>3508</v>
      </c>
      <c r="E53" s="45" t="s">
        <v>3509</v>
      </c>
      <c r="F53" s="45" t="s">
        <v>3511</v>
      </c>
      <c r="G53" s="45" t="s">
        <v>3513</v>
      </c>
      <c r="H53" s="45" t="s">
        <v>3514</v>
      </c>
      <c r="I53" s="45" t="s">
        <v>3515</v>
      </c>
      <c r="J53" s="45" t="s">
        <v>3517</v>
      </c>
      <c r="K53" s="45" t="s">
        <v>3518</v>
      </c>
      <c r="L53" s="45" t="s">
        <v>3519</v>
      </c>
      <c r="AA53" s="13"/>
      <c r="AB53" s="13"/>
    </row>
    <row r="54" spans="2:28">
      <c r="B54" s="43" t="s">
        <v>2880</v>
      </c>
      <c r="C54" s="44" t="s">
        <v>2878</v>
      </c>
      <c r="D54" s="58"/>
      <c r="E54" s="67"/>
      <c r="F54" s="67"/>
      <c r="G54" s="67"/>
      <c r="H54" s="67"/>
      <c r="I54" s="67"/>
      <c r="J54" s="67"/>
      <c r="K54" s="67"/>
      <c r="L54" s="59"/>
    </row>
    <row r="55" spans="2:28">
      <c r="B55" s="47" t="s">
        <v>3437</v>
      </c>
      <c r="C55" s="44" t="s">
        <v>2878</v>
      </c>
      <c r="D55" s="56"/>
      <c r="E55" s="66"/>
      <c r="F55" s="66"/>
      <c r="G55" s="66"/>
      <c r="H55" s="66"/>
      <c r="I55" s="66"/>
      <c r="J55" s="66"/>
      <c r="K55" s="66"/>
      <c r="L55" s="57"/>
    </row>
    <row r="56" spans="2:28">
      <c r="B56" s="49" t="s">
        <v>3520</v>
      </c>
      <c r="C56" s="41" t="s">
        <v>3521</v>
      </c>
      <c r="D56" s="60">
        <v>0</v>
      </c>
      <c r="E56" s="60">
        <v>0</v>
      </c>
      <c r="F56" s="60">
        <v>0</v>
      </c>
      <c r="G56" s="60">
        <v>0</v>
      </c>
      <c r="H56" s="60">
        <v>0</v>
      </c>
      <c r="I56" s="60">
        <v>0</v>
      </c>
      <c r="J56" s="60">
        <v>0</v>
      </c>
      <c r="K56" s="60">
        <v>30192776.880000003</v>
      </c>
      <c r="L56" s="60">
        <v>30192776.880000003</v>
      </c>
    </row>
    <row r="57" spans="2:28">
      <c r="B57" s="49" t="s">
        <v>3485</v>
      </c>
      <c r="C57" s="41" t="s">
        <v>3522</v>
      </c>
      <c r="D57" s="60">
        <v>0</v>
      </c>
      <c r="E57" s="60">
        <v>0</v>
      </c>
      <c r="F57" s="60">
        <v>0</v>
      </c>
      <c r="G57" s="60">
        <v>0</v>
      </c>
      <c r="H57" s="60">
        <v>0</v>
      </c>
      <c r="I57" s="60">
        <v>0</v>
      </c>
      <c r="J57" s="60">
        <v>0</v>
      </c>
      <c r="K57" s="60">
        <v>0</v>
      </c>
      <c r="L57" s="60">
        <v>0</v>
      </c>
    </row>
    <row r="58" spans="2:28">
      <c r="B58" s="49" t="s">
        <v>3486</v>
      </c>
      <c r="C58" s="41" t="s">
        <v>3523</v>
      </c>
      <c r="D58" s="60">
        <v>0</v>
      </c>
      <c r="E58" s="60">
        <v>0</v>
      </c>
      <c r="F58" s="60">
        <v>0</v>
      </c>
      <c r="G58" s="60">
        <v>0</v>
      </c>
      <c r="H58" s="60">
        <v>0</v>
      </c>
      <c r="I58" s="60">
        <v>0</v>
      </c>
      <c r="J58" s="60">
        <v>0</v>
      </c>
      <c r="K58" s="60">
        <v>30192776.880000003</v>
      </c>
      <c r="L58" s="60">
        <v>30192776.880000003</v>
      </c>
    </row>
    <row r="59" spans="2:28">
      <c r="B59" s="47" t="s">
        <v>3487</v>
      </c>
      <c r="C59" s="44" t="s">
        <v>2878</v>
      </c>
      <c r="D59" s="56"/>
      <c r="E59" s="66"/>
      <c r="F59" s="66"/>
      <c r="G59" s="66"/>
      <c r="H59" s="66"/>
      <c r="I59" s="66"/>
      <c r="J59" s="66"/>
      <c r="K59" s="66"/>
      <c r="L59" s="57"/>
    </row>
    <row r="60" spans="2:28">
      <c r="B60" s="49" t="s">
        <v>3520</v>
      </c>
      <c r="C60" s="41" t="s">
        <v>3524</v>
      </c>
      <c r="D60" s="60">
        <v>0</v>
      </c>
      <c r="E60" s="60">
        <v>0</v>
      </c>
      <c r="F60" s="60">
        <v>0</v>
      </c>
      <c r="G60" s="60">
        <v>0</v>
      </c>
      <c r="H60" s="60">
        <v>0</v>
      </c>
      <c r="I60" s="60">
        <v>0</v>
      </c>
      <c r="J60" s="60">
        <v>0</v>
      </c>
      <c r="K60" s="60">
        <v>30192776.890000001</v>
      </c>
      <c r="L60" s="60">
        <v>30192776.890000001</v>
      </c>
    </row>
    <row r="61" spans="2:28">
      <c r="B61" s="49" t="s">
        <v>3485</v>
      </c>
      <c r="C61" s="41" t="s">
        <v>3525</v>
      </c>
      <c r="D61" s="60">
        <v>0</v>
      </c>
      <c r="E61" s="60">
        <v>0</v>
      </c>
      <c r="F61" s="60">
        <v>0</v>
      </c>
      <c r="G61" s="60">
        <v>0</v>
      </c>
      <c r="H61" s="60">
        <v>0</v>
      </c>
      <c r="I61" s="60">
        <v>0</v>
      </c>
      <c r="J61" s="60">
        <v>0</v>
      </c>
      <c r="K61" s="60">
        <v>0</v>
      </c>
      <c r="L61" s="60">
        <v>0</v>
      </c>
    </row>
    <row r="62" spans="2:28">
      <c r="B62" s="49" t="s">
        <v>3486</v>
      </c>
      <c r="C62" s="41" t="s">
        <v>3526</v>
      </c>
      <c r="D62" s="60">
        <v>0</v>
      </c>
      <c r="E62" s="60">
        <v>0</v>
      </c>
      <c r="F62" s="60">
        <v>0</v>
      </c>
      <c r="G62" s="60">
        <v>0</v>
      </c>
      <c r="H62" s="60">
        <v>0</v>
      </c>
      <c r="I62" s="60">
        <v>0</v>
      </c>
      <c r="J62" s="60">
        <v>0</v>
      </c>
      <c r="K62" s="60">
        <v>30192776.890000001</v>
      </c>
      <c r="L62" s="60">
        <v>30192776.890000001</v>
      </c>
    </row>
    <row r="63" spans="2:28">
      <c r="B63" s="47" t="s">
        <v>3438</v>
      </c>
      <c r="C63" s="44" t="s">
        <v>2878</v>
      </c>
      <c r="D63" s="56"/>
      <c r="E63" s="66"/>
      <c r="F63" s="66"/>
      <c r="G63" s="66"/>
      <c r="H63" s="66"/>
      <c r="I63" s="66"/>
      <c r="J63" s="66"/>
      <c r="K63" s="66"/>
      <c r="L63" s="57"/>
    </row>
    <row r="64" spans="2:28">
      <c r="B64" s="49" t="s">
        <v>3520</v>
      </c>
      <c r="C64" s="41" t="s">
        <v>3527</v>
      </c>
      <c r="D64" s="60">
        <v>0</v>
      </c>
      <c r="E64" s="60">
        <v>0</v>
      </c>
      <c r="F64" s="60">
        <v>0</v>
      </c>
      <c r="G64" s="60">
        <v>0</v>
      </c>
      <c r="H64" s="60">
        <v>0</v>
      </c>
      <c r="I64" s="60">
        <v>0</v>
      </c>
      <c r="J64" s="60">
        <v>0</v>
      </c>
      <c r="K64" s="60">
        <v>29513979.199999999</v>
      </c>
      <c r="L64" s="60">
        <v>29513979.199999999</v>
      </c>
    </row>
    <row r="65" spans="2:28">
      <c r="B65" s="49" t="s">
        <v>3485</v>
      </c>
      <c r="C65" s="41" t="s">
        <v>3528</v>
      </c>
      <c r="D65" s="60">
        <v>0</v>
      </c>
      <c r="E65" s="60">
        <v>0</v>
      </c>
      <c r="F65" s="60">
        <v>0</v>
      </c>
      <c r="G65" s="60">
        <v>0</v>
      </c>
      <c r="H65" s="60">
        <v>0</v>
      </c>
      <c r="I65" s="60">
        <v>0</v>
      </c>
      <c r="J65" s="60">
        <v>0</v>
      </c>
      <c r="K65" s="60">
        <v>0</v>
      </c>
      <c r="L65" s="60">
        <v>0</v>
      </c>
    </row>
    <row r="66" spans="2:28">
      <c r="B66" s="49" t="s">
        <v>3486</v>
      </c>
      <c r="C66" s="41" t="s">
        <v>3529</v>
      </c>
      <c r="D66" s="60">
        <v>0</v>
      </c>
      <c r="E66" s="60">
        <v>0</v>
      </c>
      <c r="F66" s="60">
        <v>0</v>
      </c>
      <c r="G66" s="60">
        <v>0</v>
      </c>
      <c r="H66" s="60">
        <v>0</v>
      </c>
      <c r="I66" s="60">
        <v>0</v>
      </c>
      <c r="J66" s="60">
        <v>0</v>
      </c>
      <c r="K66" s="60">
        <v>29513979.199999999</v>
      </c>
      <c r="L66" s="60">
        <v>29513979.199999999</v>
      </c>
    </row>
    <row r="67" spans="2:28">
      <c r="B67" s="47" t="s">
        <v>3488</v>
      </c>
      <c r="C67" s="44" t="s">
        <v>2878</v>
      </c>
      <c r="D67" s="56"/>
      <c r="E67" s="66"/>
      <c r="F67" s="66"/>
      <c r="G67" s="66"/>
      <c r="H67" s="66"/>
      <c r="I67" s="66"/>
      <c r="J67" s="66"/>
      <c r="K67" s="66"/>
      <c r="L67" s="57"/>
    </row>
    <row r="68" spans="2:28">
      <c r="B68" s="49" t="s">
        <v>3520</v>
      </c>
      <c r="C68" s="41" t="s">
        <v>3530</v>
      </c>
      <c r="D68" s="60">
        <v>0</v>
      </c>
      <c r="E68" s="60">
        <v>0</v>
      </c>
      <c r="F68" s="60">
        <v>0</v>
      </c>
      <c r="G68" s="60">
        <v>0</v>
      </c>
      <c r="H68" s="60">
        <v>0</v>
      </c>
      <c r="I68" s="60">
        <v>0</v>
      </c>
      <c r="J68" s="60">
        <v>0</v>
      </c>
      <c r="K68" s="60">
        <v>0</v>
      </c>
      <c r="L68" s="60">
        <v>0</v>
      </c>
    </row>
    <row r="69" spans="2:28">
      <c r="B69" s="49" t="s">
        <v>3485</v>
      </c>
      <c r="C69" s="41" t="s">
        <v>3531</v>
      </c>
      <c r="D69" s="60">
        <v>0</v>
      </c>
      <c r="E69" s="60">
        <v>0</v>
      </c>
      <c r="F69" s="60">
        <v>0</v>
      </c>
      <c r="G69" s="60">
        <v>0</v>
      </c>
      <c r="H69" s="60">
        <v>0</v>
      </c>
      <c r="I69" s="60">
        <v>0</v>
      </c>
      <c r="J69" s="60">
        <v>0</v>
      </c>
      <c r="K69" s="60">
        <v>0</v>
      </c>
      <c r="L69" s="60">
        <v>0</v>
      </c>
    </row>
    <row r="70" spans="2:28">
      <c r="B70" s="49" t="s">
        <v>3486</v>
      </c>
      <c r="C70" s="41" t="s">
        <v>3532</v>
      </c>
      <c r="D70" s="60">
        <v>0</v>
      </c>
      <c r="E70" s="60">
        <v>0</v>
      </c>
      <c r="F70" s="60">
        <v>0</v>
      </c>
      <c r="G70" s="60">
        <v>0</v>
      </c>
      <c r="H70" s="60">
        <v>0</v>
      </c>
      <c r="I70" s="60">
        <v>0</v>
      </c>
      <c r="J70" s="60">
        <v>0</v>
      </c>
      <c r="K70" s="60">
        <v>0</v>
      </c>
      <c r="L70" s="60">
        <v>0</v>
      </c>
    </row>
    <row r="71" spans="2:28">
      <c r="B71" s="47" t="s">
        <v>3490</v>
      </c>
      <c r="C71" s="41" t="s">
        <v>3533</v>
      </c>
      <c r="D71" s="60">
        <v>0</v>
      </c>
      <c r="E71" s="60">
        <v>0</v>
      </c>
      <c r="F71" s="60">
        <v>0</v>
      </c>
      <c r="G71" s="60">
        <v>0</v>
      </c>
      <c r="H71" s="60">
        <v>0</v>
      </c>
      <c r="I71" s="60">
        <v>0</v>
      </c>
      <c r="J71" s="60">
        <v>0</v>
      </c>
      <c r="K71" s="60">
        <v>907261.00429090741</v>
      </c>
      <c r="L71" s="60">
        <v>907261.00429090741</v>
      </c>
    </row>
    <row r="72" spans="2:28">
      <c r="B72" s="47" t="s">
        <v>3501</v>
      </c>
      <c r="C72" s="44" t="s">
        <v>3549</v>
      </c>
      <c r="D72" s="58"/>
      <c r="E72" s="58"/>
      <c r="F72" s="58"/>
      <c r="G72" s="58"/>
      <c r="H72" s="58"/>
      <c r="I72" s="58"/>
      <c r="J72" s="58"/>
      <c r="K72" s="48"/>
      <c r="L72" s="60">
        <v>0</v>
      </c>
    </row>
    <row r="73" spans="2:28">
      <c r="B73" s="47" t="s">
        <v>3503</v>
      </c>
      <c r="C73" s="44" t="s">
        <v>3550</v>
      </c>
      <c r="D73" s="56"/>
      <c r="E73" s="56"/>
      <c r="F73" s="56"/>
      <c r="G73" s="56"/>
      <c r="H73" s="56"/>
      <c r="I73" s="56"/>
      <c r="J73" s="56"/>
      <c r="K73" s="46"/>
      <c r="L73" s="60">
        <v>907261.00429090741</v>
      </c>
    </row>
    <row r="75" spans="2:28">
      <c r="AA75" s="13"/>
      <c r="AB75" s="13"/>
    </row>
  </sheetData>
  <mergeCells count="11">
    <mergeCell ref="B2:O2"/>
    <mergeCell ref="B5:L5"/>
    <mergeCell ref="D9:T10"/>
    <mergeCell ref="D11:O11"/>
    <mergeCell ref="P11:S11"/>
    <mergeCell ref="T11:T12"/>
    <mergeCell ref="B45:L45"/>
    <mergeCell ref="D49:L50"/>
    <mergeCell ref="D51:I51"/>
    <mergeCell ref="J51:K51"/>
    <mergeCell ref="L51:L52"/>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A2C11-4B9F-4E54-9F19-368DF1BC7744}">
  <sheetPr codeName="Blad52"/>
  <dimension ref="B2:AB47"/>
  <sheetViews>
    <sheetView showGridLines="0" workbookViewId="0"/>
  </sheetViews>
  <sheetFormatPr defaultRowHeight="15"/>
  <cols>
    <col min="2" max="2" width="47.42578125" bestFit="1" customWidth="1"/>
    <col min="4" max="20" width="15.7109375" customWidth="1"/>
  </cols>
  <sheetData>
    <row r="2" spans="2:28" ht="23.25">
      <c r="B2" s="86" t="s">
        <v>578</v>
      </c>
      <c r="C2" s="87"/>
      <c r="D2" s="87"/>
      <c r="E2" s="87"/>
      <c r="F2" s="87"/>
      <c r="G2" s="87"/>
      <c r="H2" s="87"/>
      <c r="I2" s="87"/>
      <c r="J2" s="87"/>
      <c r="K2" s="87"/>
      <c r="L2" s="87"/>
      <c r="M2" s="87"/>
      <c r="N2" s="87"/>
      <c r="O2" s="87"/>
    </row>
    <row r="5" spans="2:28" ht="18.75">
      <c r="B5" s="88" t="s">
        <v>3555</v>
      </c>
      <c r="C5" s="87"/>
      <c r="D5" s="87"/>
      <c r="E5" s="87"/>
      <c r="F5" s="87"/>
      <c r="G5" s="87"/>
      <c r="H5" s="87"/>
      <c r="I5" s="87"/>
      <c r="J5" s="87"/>
      <c r="K5" s="87"/>
      <c r="L5" s="87"/>
    </row>
    <row r="9" spans="2:28">
      <c r="D9" s="92" t="s">
        <v>2877</v>
      </c>
      <c r="E9" s="93"/>
      <c r="F9" s="93"/>
      <c r="G9" s="93"/>
      <c r="H9" s="93"/>
      <c r="I9" s="93"/>
      <c r="J9" s="93"/>
      <c r="K9" s="93"/>
      <c r="L9" s="93"/>
      <c r="M9" s="93"/>
      <c r="N9" s="93"/>
      <c r="O9" s="93"/>
      <c r="P9" s="93"/>
      <c r="Q9" s="93"/>
      <c r="R9" s="93"/>
      <c r="S9" s="93"/>
      <c r="T9" s="94"/>
    </row>
    <row r="10" spans="2:28">
      <c r="D10" s="95"/>
      <c r="E10" s="96"/>
      <c r="F10" s="96"/>
      <c r="G10" s="96"/>
      <c r="H10" s="96"/>
      <c r="I10" s="96"/>
      <c r="J10" s="96"/>
      <c r="K10" s="96"/>
      <c r="L10" s="96"/>
      <c r="M10" s="96"/>
      <c r="N10" s="96"/>
      <c r="O10" s="96"/>
      <c r="P10" s="96"/>
      <c r="Q10" s="96"/>
      <c r="R10" s="96"/>
      <c r="S10" s="96"/>
      <c r="T10" s="97"/>
    </row>
    <row r="11" spans="2:28">
      <c r="D11" s="98" t="s">
        <v>3459</v>
      </c>
      <c r="E11" s="100"/>
      <c r="F11" s="100"/>
      <c r="G11" s="100"/>
      <c r="H11" s="100"/>
      <c r="I11" s="100"/>
      <c r="J11" s="100"/>
      <c r="K11" s="100"/>
      <c r="L11" s="100"/>
      <c r="M11" s="100"/>
      <c r="N11" s="100"/>
      <c r="O11" s="99"/>
      <c r="P11" s="98" t="s">
        <v>3556</v>
      </c>
      <c r="Q11" s="100"/>
      <c r="R11" s="100"/>
      <c r="S11" s="99"/>
      <c r="T11" s="89" t="s">
        <v>3480</v>
      </c>
    </row>
    <row r="12" spans="2:28" ht="60">
      <c r="D12" s="55" t="s">
        <v>3460</v>
      </c>
      <c r="E12" s="55" t="s">
        <v>3461</v>
      </c>
      <c r="F12" s="55" t="s">
        <v>3462</v>
      </c>
      <c r="G12" s="55" t="s">
        <v>3463</v>
      </c>
      <c r="H12" s="55" t="s">
        <v>3464</v>
      </c>
      <c r="I12" s="55" t="s">
        <v>3465</v>
      </c>
      <c r="J12" s="55" t="s">
        <v>3466</v>
      </c>
      <c r="K12" s="55" t="s">
        <v>3467</v>
      </c>
      <c r="L12" s="55" t="s">
        <v>3468</v>
      </c>
      <c r="M12" s="55" t="s">
        <v>3469</v>
      </c>
      <c r="N12" s="55" t="s">
        <v>3470</v>
      </c>
      <c r="O12" s="55" t="s">
        <v>3471</v>
      </c>
      <c r="P12" s="55" t="s">
        <v>3473</v>
      </c>
      <c r="Q12" s="55" t="s">
        <v>3474</v>
      </c>
      <c r="R12" s="55" t="s">
        <v>3476</v>
      </c>
      <c r="S12" s="55" t="s">
        <v>3478</v>
      </c>
      <c r="T12" s="91"/>
    </row>
    <row r="13" spans="2:28">
      <c r="D13" s="45" t="s">
        <v>2879</v>
      </c>
      <c r="E13" s="45" t="s">
        <v>3219</v>
      </c>
      <c r="F13" s="45" t="s">
        <v>3225</v>
      </c>
      <c r="G13" s="45" t="s">
        <v>3223</v>
      </c>
      <c r="H13" s="45" t="s">
        <v>3229</v>
      </c>
      <c r="I13" s="45" t="s">
        <v>3231</v>
      </c>
      <c r="J13" s="45" t="s">
        <v>3233</v>
      </c>
      <c r="K13" s="45" t="s">
        <v>3234</v>
      </c>
      <c r="L13" s="45" t="s">
        <v>3236</v>
      </c>
      <c r="M13" s="45" t="s">
        <v>3239</v>
      </c>
      <c r="N13" s="45" t="s">
        <v>3241</v>
      </c>
      <c r="O13" s="45" t="s">
        <v>3243</v>
      </c>
      <c r="P13" s="45" t="s">
        <v>3375</v>
      </c>
      <c r="Q13" s="45" t="s">
        <v>3475</v>
      </c>
      <c r="R13" s="45" t="s">
        <v>3477</v>
      </c>
      <c r="S13" s="45" t="s">
        <v>3479</v>
      </c>
      <c r="T13" s="45" t="s">
        <v>3481</v>
      </c>
      <c r="AA13" s="13" t="str">
        <f>Show!$B$48&amp;"S.05.01.13.01 Rows {"&amp;COLUMN($C$1)&amp;"}"&amp;"@ForceFilingCode:true"</f>
        <v>!S.05.01.13.01 Rows {3}@ForceFilingCode:true</v>
      </c>
      <c r="AB13" s="13" t="str">
        <f>Show!$B$48&amp;"S.05.01.13.01 Columns {"&amp;COLUMN($D$1)&amp;"}"</f>
        <v>!S.05.01.13.01 Columns {4}</v>
      </c>
    </row>
    <row r="14" spans="2:28">
      <c r="B14" s="43" t="s">
        <v>2880</v>
      </c>
      <c r="C14" s="44" t="s">
        <v>2878</v>
      </c>
      <c r="D14" s="58"/>
      <c r="E14" s="67"/>
      <c r="F14" s="67"/>
      <c r="G14" s="67"/>
      <c r="H14" s="67"/>
      <c r="I14" s="67"/>
      <c r="J14" s="67"/>
      <c r="K14" s="67"/>
      <c r="L14" s="67"/>
      <c r="M14" s="67"/>
      <c r="N14" s="67"/>
      <c r="O14" s="67"/>
      <c r="P14" s="67"/>
      <c r="Q14" s="67"/>
      <c r="R14" s="67"/>
      <c r="S14" s="67"/>
      <c r="T14" s="59"/>
    </row>
    <row r="15" spans="2:28">
      <c r="B15" s="47" t="s">
        <v>3437</v>
      </c>
      <c r="C15" s="44" t="s">
        <v>2878</v>
      </c>
      <c r="D15" s="56"/>
      <c r="E15" s="66"/>
      <c r="F15" s="66"/>
      <c r="G15" s="66"/>
      <c r="H15" s="66"/>
      <c r="I15" s="66"/>
      <c r="J15" s="66"/>
      <c r="K15" s="66"/>
      <c r="L15" s="66"/>
      <c r="M15" s="66"/>
      <c r="N15" s="66"/>
      <c r="O15" s="66"/>
      <c r="P15" s="67"/>
      <c r="Q15" s="67"/>
      <c r="R15" s="67"/>
      <c r="S15" s="67"/>
      <c r="T15" s="57"/>
    </row>
    <row r="16" spans="2:28">
      <c r="B16" s="49" t="s">
        <v>3482</v>
      </c>
      <c r="C16" s="41" t="s">
        <v>2901</v>
      </c>
      <c r="D16" s="60"/>
      <c r="E16" s="60"/>
      <c r="F16" s="60"/>
      <c r="G16" s="60"/>
      <c r="H16" s="60"/>
      <c r="I16" s="60"/>
      <c r="J16" s="60"/>
      <c r="K16" s="60"/>
      <c r="L16" s="60"/>
      <c r="M16" s="60"/>
      <c r="N16" s="60"/>
      <c r="O16" s="64"/>
      <c r="P16" s="58"/>
      <c r="Q16" s="58"/>
      <c r="R16" s="58"/>
      <c r="S16" s="48"/>
      <c r="T16" s="60"/>
    </row>
    <row r="17" spans="2:28">
      <c r="B17" s="49" t="s">
        <v>3483</v>
      </c>
      <c r="C17" s="41" t="s">
        <v>2903</v>
      </c>
      <c r="D17" s="63"/>
      <c r="E17" s="63"/>
      <c r="F17" s="63"/>
      <c r="G17" s="63"/>
      <c r="H17" s="63"/>
      <c r="I17" s="63"/>
      <c r="J17" s="63"/>
      <c r="K17" s="63"/>
      <c r="L17" s="63"/>
      <c r="M17" s="63"/>
      <c r="N17" s="63"/>
      <c r="O17" s="65"/>
      <c r="P17" s="56"/>
      <c r="Q17" s="56"/>
      <c r="R17" s="56"/>
      <c r="S17" s="46"/>
      <c r="T17" s="60"/>
    </row>
    <row r="18" spans="2:28">
      <c r="B18" s="49" t="s">
        <v>3484</v>
      </c>
      <c r="C18" s="44" t="s">
        <v>2905</v>
      </c>
      <c r="D18" s="56"/>
      <c r="E18" s="56"/>
      <c r="F18" s="56"/>
      <c r="G18" s="56"/>
      <c r="H18" s="56"/>
      <c r="I18" s="56"/>
      <c r="J18" s="56"/>
      <c r="K18" s="56"/>
      <c r="L18" s="56"/>
      <c r="M18" s="56"/>
      <c r="N18" s="56"/>
      <c r="O18" s="46"/>
      <c r="P18" s="60"/>
      <c r="Q18" s="60"/>
      <c r="R18" s="60"/>
      <c r="S18" s="60"/>
      <c r="T18" s="60"/>
    </row>
    <row r="19" spans="2:28">
      <c r="B19" s="49" t="s">
        <v>3486</v>
      </c>
      <c r="C19" s="41" t="s">
        <v>2919</v>
      </c>
      <c r="D19" s="63"/>
      <c r="E19" s="63"/>
      <c r="F19" s="63"/>
      <c r="G19" s="63"/>
      <c r="H19" s="63"/>
      <c r="I19" s="63"/>
      <c r="J19" s="63"/>
      <c r="K19" s="63"/>
      <c r="L19" s="63"/>
      <c r="M19" s="63"/>
      <c r="N19" s="63"/>
      <c r="O19" s="63"/>
      <c r="P19" s="63"/>
      <c r="Q19" s="63"/>
      <c r="R19" s="63"/>
      <c r="S19" s="63"/>
      <c r="T19" s="63"/>
    </row>
    <row r="20" spans="2:28">
      <c r="B20" s="47" t="s">
        <v>3438</v>
      </c>
      <c r="C20" s="44" t="s">
        <v>2878</v>
      </c>
      <c r="D20" s="56"/>
      <c r="E20" s="66"/>
      <c r="F20" s="66"/>
      <c r="G20" s="66"/>
      <c r="H20" s="66"/>
      <c r="I20" s="66"/>
      <c r="J20" s="66"/>
      <c r="K20" s="66"/>
      <c r="L20" s="66"/>
      <c r="M20" s="66"/>
      <c r="N20" s="66"/>
      <c r="O20" s="66"/>
      <c r="P20" s="66"/>
      <c r="Q20" s="66"/>
      <c r="R20" s="66"/>
      <c r="S20" s="66"/>
      <c r="T20" s="57"/>
    </row>
    <row r="21" spans="2:28">
      <c r="B21" s="49" t="s">
        <v>3486</v>
      </c>
      <c r="C21" s="41" t="s">
        <v>2959</v>
      </c>
      <c r="D21" s="60"/>
      <c r="E21" s="60"/>
      <c r="F21" s="60"/>
      <c r="G21" s="60"/>
      <c r="H21" s="60"/>
      <c r="I21" s="60"/>
      <c r="J21" s="60"/>
      <c r="K21" s="60"/>
      <c r="L21" s="60"/>
      <c r="M21" s="60"/>
      <c r="N21" s="60"/>
      <c r="O21" s="60"/>
      <c r="P21" s="60"/>
      <c r="Q21" s="60"/>
      <c r="R21" s="60"/>
      <c r="S21" s="60"/>
      <c r="T21" s="60"/>
    </row>
    <row r="22" spans="2:28">
      <c r="B22" s="47" t="s">
        <v>3490</v>
      </c>
      <c r="C22" s="41" t="s">
        <v>2987</v>
      </c>
      <c r="D22" s="63"/>
      <c r="E22" s="63"/>
      <c r="F22" s="63"/>
      <c r="G22" s="63"/>
      <c r="H22" s="63"/>
      <c r="I22" s="63"/>
      <c r="J22" s="63"/>
      <c r="K22" s="63"/>
      <c r="L22" s="63"/>
      <c r="M22" s="63"/>
      <c r="N22" s="63"/>
      <c r="O22" s="63"/>
      <c r="P22" s="63"/>
      <c r="Q22" s="63"/>
      <c r="R22" s="63"/>
      <c r="S22" s="63"/>
      <c r="T22" s="60"/>
    </row>
    <row r="23" spans="2:28">
      <c r="B23" s="47" t="s">
        <v>3501</v>
      </c>
      <c r="C23" s="44" t="s">
        <v>3502</v>
      </c>
      <c r="D23" s="58"/>
      <c r="E23" s="58"/>
      <c r="F23" s="58"/>
      <c r="G23" s="58"/>
      <c r="H23" s="58"/>
      <c r="I23" s="58"/>
      <c r="J23" s="58"/>
      <c r="K23" s="58"/>
      <c r="L23" s="58"/>
      <c r="M23" s="58"/>
      <c r="N23" s="58"/>
      <c r="O23" s="58"/>
      <c r="P23" s="58"/>
      <c r="Q23" s="58"/>
      <c r="R23" s="58"/>
      <c r="S23" s="48"/>
      <c r="T23" s="60"/>
    </row>
    <row r="24" spans="2:28">
      <c r="B24" s="47" t="s">
        <v>3503</v>
      </c>
      <c r="C24" s="44" t="s">
        <v>3504</v>
      </c>
      <c r="D24" s="56"/>
      <c r="E24" s="56"/>
      <c r="F24" s="56"/>
      <c r="G24" s="56"/>
      <c r="H24" s="56"/>
      <c r="I24" s="56"/>
      <c r="J24" s="56"/>
      <c r="K24" s="56"/>
      <c r="L24" s="56"/>
      <c r="M24" s="56"/>
      <c r="N24" s="56"/>
      <c r="O24" s="56"/>
      <c r="P24" s="56"/>
      <c r="Q24" s="56"/>
      <c r="R24" s="56"/>
      <c r="S24" s="46"/>
      <c r="T24" s="60"/>
    </row>
    <row r="26" spans="2:28">
      <c r="AA26" s="13" t="str">
        <f>Show!$B$48&amp;Show!$B$48&amp;"S.05.01.13.01 Rows {"&amp;COLUMN($C$1)&amp;"}"</f>
        <v>!!S.05.01.13.01 Rows {3}</v>
      </c>
      <c r="AB26" s="13" t="str">
        <f>Show!$B$48&amp;Show!$B$48&amp;"S.05.01.13.01 Columns {"&amp;COLUMN($T$1)&amp;"}"</f>
        <v>!!S.05.01.13.01 Columns {20}</v>
      </c>
    </row>
    <row r="28" spans="2:28" ht="18.75">
      <c r="B28" s="88" t="s">
        <v>3557</v>
      </c>
      <c r="C28" s="87"/>
      <c r="D28" s="87"/>
      <c r="E28" s="87"/>
      <c r="F28" s="87"/>
      <c r="G28" s="87"/>
      <c r="H28" s="87"/>
      <c r="I28" s="87"/>
      <c r="J28" s="87"/>
      <c r="K28" s="87"/>
      <c r="L28" s="87"/>
    </row>
    <row r="32" spans="2:28">
      <c r="D32" s="92" t="s">
        <v>2877</v>
      </c>
      <c r="E32" s="93"/>
      <c r="F32" s="93"/>
      <c r="G32" s="93"/>
      <c r="H32" s="93"/>
      <c r="I32" s="93"/>
      <c r="J32" s="93"/>
      <c r="K32" s="93"/>
      <c r="L32" s="94"/>
    </row>
    <row r="33" spans="2:28">
      <c r="D33" s="95"/>
      <c r="E33" s="96"/>
      <c r="F33" s="96"/>
      <c r="G33" s="96"/>
      <c r="H33" s="96"/>
      <c r="I33" s="96"/>
      <c r="J33" s="96"/>
      <c r="K33" s="96"/>
      <c r="L33" s="97"/>
    </row>
    <row r="34" spans="2:28">
      <c r="D34" s="98" t="s">
        <v>3506</v>
      </c>
      <c r="E34" s="100"/>
      <c r="F34" s="100"/>
      <c r="G34" s="100"/>
      <c r="H34" s="100"/>
      <c r="I34" s="99"/>
      <c r="J34" s="98" t="s">
        <v>3516</v>
      </c>
      <c r="K34" s="99"/>
      <c r="L34" s="89" t="s">
        <v>3480</v>
      </c>
    </row>
    <row r="35" spans="2:28" ht="180">
      <c r="D35" s="55" t="s">
        <v>3507</v>
      </c>
      <c r="E35" s="55" t="s">
        <v>1264</v>
      </c>
      <c r="F35" s="55" t="s">
        <v>3510</v>
      </c>
      <c r="G35" s="55" t="s">
        <v>3512</v>
      </c>
      <c r="H35" s="55" t="s">
        <v>1267</v>
      </c>
      <c r="I35" s="55" t="s">
        <v>1268</v>
      </c>
      <c r="J35" s="55" t="s">
        <v>1269</v>
      </c>
      <c r="K35" s="55" t="s">
        <v>1270</v>
      </c>
      <c r="L35" s="91"/>
    </row>
    <row r="36" spans="2:28">
      <c r="D36" s="45" t="s">
        <v>3508</v>
      </c>
      <c r="E36" s="45" t="s">
        <v>3509</v>
      </c>
      <c r="F36" s="45" t="s">
        <v>3511</v>
      </c>
      <c r="G36" s="45" t="s">
        <v>3513</v>
      </c>
      <c r="H36" s="45" t="s">
        <v>3514</v>
      </c>
      <c r="I36" s="45" t="s">
        <v>3515</v>
      </c>
      <c r="J36" s="45" t="s">
        <v>3517</v>
      </c>
      <c r="K36" s="45" t="s">
        <v>3518</v>
      </c>
      <c r="L36" s="45" t="s">
        <v>3519</v>
      </c>
      <c r="AA36" s="13" t="str">
        <f>Show!$B$48&amp;"S.05.01.13.02 Rows {"&amp;COLUMN($C$1)&amp;"}"&amp;"@ForceFilingCode:true"</f>
        <v>!S.05.01.13.02 Rows {3}@ForceFilingCode:true</v>
      </c>
      <c r="AB36" s="13" t="str">
        <f>Show!$B$48&amp;"S.05.01.13.02 Columns {"&amp;COLUMN($D$1)&amp;"}"</f>
        <v>!S.05.01.13.02 Columns {4}</v>
      </c>
    </row>
    <row r="37" spans="2:28">
      <c r="B37" s="43" t="s">
        <v>2880</v>
      </c>
      <c r="C37" s="44" t="s">
        <v>2878</v>
      </c>
      <c r="D37" s="58"/>
      <c r="E37" s="67"/>
      <c r="F37" s="67"/>
      <c r="G37" s="67"/>
      <c r="H37" s="67"/>
      <c r="I37" s="67"/>
      <c r="J37" s="67"/>
      <c r="K37" s="67"/>
      <c r="L37" s="59"/>
    </row>
    <row r="38" spans="2:28">
      <c r="B38" s="47" t="s">
        <v>3437</v>
      </c>
      <c r="C38" s="44" t="s">
        <v>2878</v>
      </c>
      <c r="D38" s="56"/>
      <c r="E38" s="66"/>
      <c r="F38" s="66"/>
      <c r="G38" s="66"/>
      <c r="H38" s="66"/>
      <c r="I38" s="66"/>
      <c r="J38" s="66"/>
      <c r="K38" s="66"/>
      <c r="L38" s="57"/>
    </row>
    <row r="39" spans="2:28">
      <c r="B39" s="49" t="s">
        <v>3520</v>
      </c>
      <c r="C39" s="41" t="s">
        <v>3521</v>
      </c>
      <c r="D39" s="60"/>
      <c r="E39" s="60"/>
      <c r="F39" s="60"/>
      <c r="G39" s="60"/>
      <c r="H39" s="60"/>
      <c r="I39" s="60"/>
      <c r="J39" s="60"/>
      <c r="K39" s="60"/>
      <c r="L39" s="60"/>
    </row>
    <row r="40" spans="2:28">
      <c r="B40" s="49" t="s">
        <v>3486</v>
      </c>
      <c r="C40" s="41" t="s">
        <v>3523</v>
      </c>
      <c r="D40" s="63"/>
      <c r="E40" s="63"/>
      <c r="F40" s="63"/>
      <c r="G40" s="63"/>
      <c r="H40" s="63"/>
      <c r="I40" s="63"/>
      <c r="J40" s="63"/>
      <c r="K40" s="63"/>
      <c r="L40" s="63"/>
    </row>
    <row r="41" spans="2:28">
      <c r="B41" s="47" t="s">
        <v>3438</v>
      </c>
      <c r="C41" s="44" t="s">
        <v>2878</v>
      </c>
      <c r="D41" s="56"/>
      <c r="E41" s="66"/>
      <c r="F41" s="66"/>
      <c r="G41" s="66"/>
      <c r="H41" s="66"/>
      <c r="I41" s="66"/>
      <c r="J41" s="66"/>
      <c r="K41" s="66"/>
      <c r="L41" s="57"/>
    </row>
    <row r="42" spans="2:28">
      <c r="B42" s="49" t="s">
        <v>3486</v>
      </c>
      <c r="C42" s="41" t="s">
        <v>3529</v>
      </c>
      <c r="D42" s="60"/>
      <c r="E42" s="60"/>
      <c r="F42" s="60"/>
      <c r="G42" s="60"/>
      <c r="H42" s="60"/>
      <c r="I42" s="60"/>
      <c r="J42" s="60"/>
      <c r="K42" s="60"/>
      <c r="L42" s="60"/>
    </row>
    <row r="43" spans="2:28">
      <c r="B43" s="47" t="s">
        <v>3490</v>
      </c>
      <c r="C43" s="41" t="s">
        <v>3533</v>
      </c>
      <c r="D43" s="63"/>
      <c r="E43" s="63"/>
      <c r="F43" s="63"/>
      <c r="G43" s="63"/>
      <c r="H43" s="63"/>
      <c r="I43" s="63"/>
      <c r="J43" s="63"/>
      <c r="K43" s="63"/>
      <c r="L43" s="60"/>
    </row>
    <row r="44" spans="2:28">
      <c r="B44" s="47" t="s">
        <v>3501</v>
      </c>
      <c r="C44" s="44" t="s">
        <v>3549</v>
      </c>
      <c r="D44" s="58"/>
      <c r="E44" s="58"/>
      <c r="F44" s="58"/>
      <c r="G44" s="58"/>
      <c r="H44" s="58"/>
      <c r="I44" s="58"/>
      <c r="J44" s="58"/>
      <c r="K44" s="48"/>
      <c r="L44" s="60"/>
    </row>
    <row r="45" spans="2:28">
      <c r="B45" s="47" t="s">
        <v>3503</v>
      </c>
      <c r="C45" s="44" t="s">
        <v>3550</v>
      </c>
      <c r="D45" s="56"/>
      <c r="E45" s="56"/>
      <c r="F45" s="56"/>
      <c r="G45" s="56"/>
      <c r="H45" s="56"/>
      <c r="I45" s="56"/>
      <c r="J45" s="56"/>
      <c r="K45" s="46"/>
      <c r="L45" s="60"/>
    </row>
    <row r="47" spans="2:28">
      <c r="AA47" s="13" t="str">
        <f>Show!$B$48&amp;Show!$B$48&amp;"S.05.01.13.02 Rows {"&amp;COLUMN($C$1)&amp;"}"</f>
        <v>!!S.05.01.13.02 Rows {3}</v>
      </c>
      <c r="AB47" s="13" t="str">
        <f>Show!$B$48&amp;Show!$B$48&amp;"S.05.01.13.02 Columns {"&amp;COLUMN($L$1)&amp;"}"</f>
        <v>!!S.05.01.13.02 Columns {12}</v>
      </c>
    </row>
  </sheetData>
  <sheetProtection sheet="1" objects="1" scenarios="1"/>
  <mergeCells count="11">
    <mergeCell ref="B2:O2"/>
    <mergeCell ref="B5:L5"/>
    <mergeCell ref="D9:T10"/>
    <mergeCell ref="D11:O11"/>
    <mergeCell ref="P11:S11"/>
    <mergeCell ref="T11:T12"/>
    <mergeCell ref="B28:L28"/>
    <mergeCell ref="D32:L33"/>
    <mergeCell ref="D34:I34"/>
    <mergeCell ref="J34:K34"/>
    <mergeCell ref="L34:L3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983D4-AD5F-4A36-9FC9-662A43B40113}">
  <sheetPr codeName="Blad53"/>
  <dimension ref="B2:O221"/>
  <sheetViews>
    <sheetView showGridLines="0" topLeftCell="A25" workbookViewId="0">
      <selection activeCell="B32" sqref="B32"/>
    </sheetView>
  </sheetViews>
  <sheetFormatPr defaultRowHeight="15"/>
  <cols>
    <col min="2" max="2" width="47.42578125" bestFit="1" customWidth="1"/>
    <col min="4" max="8" width="18.42578125" customWidth="1"/>
  </cols>
  <sheetData>
    <row r="2" spans="2:15" ht="23.25">
      <c r="B2" s="86" t="s">
        <v>582</v>
      </c>
      <c r="C2" s="87"/>
      <c r="D2" s="87"/>
      <c r="E2" s="87"/>
      <c r="F2" s="87"/>
      <c r="G2" s="87"/>
      <c r="H2" s="87"/>
      <c r="I2" s="87"/>
      <c r="J2" s="87"/>
      <c r="K2" s="87"/>
      <c r="L2" s="87"/>
      <c r="M2" s="87"/>
      <c r="N2" s="87"/>
      <c r="O2" s="87"/>
    </row>
    <row r="5" spans="2:15" ht="18.75">
      <c r="B5" s="88" t="s">
        <v>3558</v>
      </c>
      <c r="C5" s="87"/>
      <c r="D5" s="87"/>
      <c r="E5" s="87"/>
      <c r="F5" s="87"/>
      <c r="G5" s="87"/>
      <c r="H5" s="87"/>
      <c r="I5" s="87"/>
      <c r="J5" s="87"/>
      <c r="K5" s="87"/>
      <c r="L5" s="87"/>
    </row>
    <row r="9" spans="2:15">
      <c r="D9" s="89" t="s">
        <v>2877</v>
      </c>
    </row>
    <row r="10" spans="2:15">
      <c r="D10" s="91"/>
    </row>
    <row r="11" spans="2:15">
      <c r="D11" s="89" t="s">
        <v>3559</v>
      </c>
    </row>
    <row r="12" spans="2:15">
      <c r="D12" s="91"/>
    </row>
    <row r="13" spans="2:15">
      <c r="D13" s="45" t="s">
        <v>3234</v>
      </c>
      <c r="I13" s="13"/>
      <c r="J13" s="13"/>
    </row>
    <row r="14" spans="2:15">
      <c r="B14" s="43" t="s">
        <v>2880</v>
      </c>
      <c r="C14" s="44" t="s">
        <v>2878</v>
      </c>
      <c r="D14" s="48"/>
    </row>
    <row r="15" spans="2:15">
      <c r="B15" s="47" t="s">
        <v>3437</v>
      </c>
      <c r="C15" s="44" t="s">
        <v>2878</v>
      </c>
      <c r="D15" s="46"/>
    </row>
    <row r="16" spans="2:15">
      <c r="B16" s="49" t="s">
        <v>3482</v>
      </c>
      <c r="C16" s="41" t="s">
        <v>2901</v>
      </c>
      <c r="D16" s="60">
        <v>0</v>
      </c>
    </row>
    <row r="17" spans="2:4">
      <c r="B17" s="49" t="s">
        <v>3483</v>
      </c>
      <c r="C17" s="41" t="s">
        <v>2903</v>
      </c>
      <c r="D17" s="60">
        <v>578985867.8325001</v>
      </c>
    </row>
    <row r="18" spans="2:4">
      <c r="B18" s="49" t="s">
        <v>3484</v>
      </c>
      <c r="C18" s="41" t="s">
        <v>2905</v>
      </c>
      <c r="D18" s="60">
        <v>30304483.93999999</v>
      </c>
    </row>
    <row r="19" spans="2:4">
      <c r="B19" s="49" t="s">
        <v>3485</v>
      </c>
      <c r="C19" s="41" t="s">
        <v>2907</v>
      </c>
      <c r="D19" s="60">
        <v>30871486.562364314</v>
      </c>
    </row>
    <row r="20" spans="2:4">
      <c r="B20" s="49" t="s">
        <v>3486</v>
      </c>
      <c r="C20" s="41" t="s">
        <v>2919</v>
      </c>
      <c r="D20" s="60">
        <v>578418865.21013582</v>
      </c>
    </row>
    <row r="21" spans="2:4">
      <c r="B21" s="47" t="s">
        <v>3487</v>
      </c>
      <c r="C21" s="44" t="s">
        <v>2878</v>
      </c>
      <c r="D21" s="46"/>
    </row>
    <row r="22" spans="2:4">
      <c r="B22" s="49" t="s">
        <v>3482</v>
      </c>
      <c r="C22" s="41" t="s">
        <v>2921</v>
      </c>
      <c r="D22" s="60">
        <v>0</v>
      </c>
    </row>
    <row r="23" spans="2:4">
      <c r="B23" s="49" t="s">
        <v>3483</v>
      </c>
      <c r="C23" s="41" t="s">
        <v>2923</v>
      </c>
      <c r="D23" s="60">
        <v>574170442.49250007</v>
      </c>
    </row>
    <row r="24" spans="2:4">
      <c r="B24" s="49" t="s">
        <v>3484</v>
      </c>
      <c r="C24" s="41" t="s">
        <v>2925</v>
      </c>
      <c r="D24" s="60">
        <v>30304484.249999985</v>
      </c>
    </row>
    <row r="25" spans="2:4">
      <c r="B25" s="49" t="s">
        <v>3485</v>
      </c>
      <c r="C25" s="41" t="s">
        <v>2927</v>
      </c>
      <c r="D25" s="60">
        <v>30699851.07783556</v>
      </c>
    </row>
    <row r="26" spans="2:4">
      <c r="B26" s="49" t="s">
        <v>3486</v>
      </c>
      <c r="C26" s="41" t="s">
        <v>2939</v>
      </c>
      <c r="D26" s="60">
        <v>573775075.66466451</v>
      </c>
    </row>
    <row r="27" spans="2:4">
      <c r="B27" s="47" t="s">
        <v>3438</v>
      </c>
      <c r="C27" s="44" t="s">
        <v>2878</v>
      </c>
      <c r="D27" s="46"/>
    </row>
    <row r="28" spans="2:4">
      <c r="B28" s="49" t="s">
        <v>3482</v>
      </c>
      <c r="C28" s="41" t="s">
        <v>2941</v>
      </c>
      <c r="D28" s="60">
        <v>0</v>
      </c>
    </row>
    <row r="29" spans="2:4">
      <c r="B29" s="49" t="s">
        <v>3483</v>
      </c>
      <c r="C29" s="41" t="s">
        <v>2943</v>
      </c>
      <c r="D29" s="60">
        <v>327313175.56499994</v>
      </c>
    </row>
    <row r="30" spans="2:4">
      <c r="B30" s="49" t="s">
        <v>3484</v>
      </c>
      <c r="C30" s="41" t="s">
        <v>2945</v>
      </c>
      <c r="D30" s="60">
        <v>44584946.25</v>
      </c>
    </row>
    <row r="31" spans="2:4">
      <c r="B31" s="49" t="s">
        <v>3485</v>
      </c>
      <c r="C31" s="41" t="s">
        <v>2947</v>
      </c>
      <c r="D31" s="60">
        <v>37759637.289999999</v>
      </c>
    </row>
    <row r="32" spans="2:4">
      <c r="B32" s="49" t="s">
        <v>3486</v>
      </c>
      <c r="C32" s="41" t="s">
        <v>2959</v>
      </c>
      <c r="D32" s="60">
        <v>334138484.52499992</v>
      </c>
    </row>
    <row r="33" spans="2:12">
      <c r="B33" s="47" t="s">
        <v>3488</v>
      </c>
      <c r="C33" s="44" t="s">
        <v>2878</v>
      </c>
      <c r="D33" s="46"/>
    </row>
    <row r="34" spans="2:12">
      <c r="B34" s="49" t="s">
        <v>3482</v>
      </c>
      <c r="C34" s="41" t="s">
        <v>2961</v>
      </c>
      <c r="D34" s="60">
        <v>0</v>
      </c>
    </row>
    <row r="35" spans="2:12">
      <c r="B35" s="49" t="s">
        <v>3483</v>
      </c>
      <c r="C35" s="41" t="s">
        <v>2963</v>
      </c>
      <c r="D35" s="60">
        <v>0</v>
      </c>
    </row>
    <row r="36" spans="2:12">
      <c r="B36" s="49" t="s">
        <v>3484</v>
      </c>
      <c r="C36" s="41" t="s">
        <v>2965</v>
      </c>
      <c r="D36" s="60">
        <v>0</v>
      </c>
    </row>
    <row r="37" spans="2:12">
      <c r="B37" s="49" t="s">
        <v>3485</v>
      </c>
      <c r="C37" s="41" t="s">
        <v>2967</v>
      </c>
      <c r="D37" s="60">
        <v>0</v>
      </c>
    </row>
    <row r="38" spans="2:12">
      <c r="B38" s="49" t="s">
        <v>3486</v>
      </c>
      <c r="C38" s="41" t="s">
        <v>2977</v>
      </c>
      <c r="D38" s="60">
        <v>0</v>
      </c>
    </row>
    <row r="39" spans="2:12">
      <c r="B39" s="47" t="s">
        <v>3490</v>
      </c>
      <c r="C39" s="41" t="s">
        <v>2987</v>
      </c>
      <c r="D39" s="60">
        <v>233295677.58001417</v>
      </c>
      <c r="E39" s="82"/>
    </row>
    <row r="40" spans="2:12">
      <c r="B40" s="47" t="s">
        <v>3501</v>
      </c>
      <c r="C40" s="44" t="s">
        <v>3502</v>
      </c>
      <c r="D40" s="48"/>
    </row>
    <row r="41" spans="2:12">
      <c r="B41" s="47" t="s">
        <v>3503</v>
      </c>
      <c r="C41" s="44" t="s">
        <v>3504</v>
      </c>
      <c r="D41" s="46"/>
    </row>
    <row r="43" spans="2:12">
      <c r="I43" s="13"/>
      <c r="J43" s="13"/>
    </row>
    <row r="45" spans="2:12" ht="18.75">
      <c r="B45" s="88" t="s">
        <v>3560</v>
      </c>
      <c r="C45" s="87"/>
      <c r="D45" s="87"/>
      <c r="E45" s="87"/>
      <c r="F45" s="87"/>
      <c r="G45" s="87"/>
      <c r="H45" s="87"/>
      <c r="I45" s="87"/>
      <c r="J45" s="87"/>
      <c r="K45" s="87"/>
      <c r="L45" s="87"/>
    </row>
    <row r="49" spans="2:14">
      <c r="D49" s="89" t="s">
        <v>2877</v>
      </c>
      <c r="E49" s="89" t="s">
        <v>2877</v>
      </c>
      <c r="F49" s="89" t="s">
        <v>2877</v>
      </c>
      <c r="G49" s="89" t="s">
        <v>2877</v>
      </c>
      <c r="H49" s="89" t="s">
        <v>2877</v>
      </c>
    </row>
    <row r="50" spans="2:14">
      <c r="D50" s="91"/>
      <c r="E50" s="91"/>
      <c r="F50" s="91"/>
      <c r="G50" s="91"/>
      <c r="H50" s="91"/>
    </row>
    <row r="51" spans="2:14" ht="15" customHeight="1">
      <c r="D51" s="89" t="s">
        <v>3561</v>
      </c>
      <c r="E51" s="89" t="s">
        <v>3561</v>
      </c>
      <c r="F51" s="89" t="s">
        <v>3561</v>
      </c>
      <c r="G51" s="89" t="s">
        <v>3561</v>
      </c>
      <c r="H51" s="89" t="s">
        <v>3561</v>
      </c>
    </row>
    <row r="52" spans="2:14">
      <c r="D52" s="91"/>
      <c r="E52" s="91"/>
      <c r="F52" s="91"/>
      <c r="G52" s="91"/>
      <c r="H52" s="91"/>
    </row>
    <row r="53" spans="2:14">
      <c r="D53" s="42" t="s">
        <v>3236</v>
      </c>
      <c r="E53" s="42" t="s">
        <v>3236</v>
      </c>
      <c r="F53" s="42" t="s">
        <v>3236</v>
      </c>
      <c r="G53" s="42" t="s">
        <v>3236</v>
      </c>
      <c r="H53" s="42" t="s">
        <v>3236</v>
      </c>
      <c r="M53" s="13"/>
      <c r="N53" s="13"/>
    </row>
    <row r="54" spans="2:14">
      <c r="B54" s="43" t="s">
        <v>56</v>
      </c>
      <c r="C54" s="41" t="s">
        <v>2883</v>
      </c>
      <c r="D54" s="68" t="s">
        <v>447</v>
      </c>
      <c r="E54" s="68" t="s">
        <v>389</v>
      </c>
      <c r="F54" s="68" t="s">
        <v>433</v>
      </c>
      <c r="G54" s="68" t="s">
        <v>245</v>
      </c>
      <c r="H54" s="68" t="s">
        <v>251</v>
      </c>
    </row>
    <row r="55" spans="2:14">
      <c r="B55" s="43" t="s">
        <v>2880</v>
      </c>
      <c r="C55" s="44" t="s">
        <v>2878</v>
      </c>
      <c r="D55" s="48"/>
      <c r="E55" s="48"/>
      <c r="F55" s="48"/>
      <c r="G55" s="48"/>
      <c r="H55" s="48"/>
    </row>
    <row r="56" spans="2:14">
      <c r="B56" s="47" t="s">
        <v>3437</v>
      </c>
      <c r="C56" s="44" t="s">
        <v>2878</v>
      </c>
      <c r="D56" s="46"/>
      <c r="E56" s="46"/>
      <c r="F56" s="46"/>
      <c r="G56" s="46"/>
      <c r="H56" s="46"/>
    </row>
    <row r="57" spans="2:14">
      <c r="B57" s="49" t="s">
        <v>3482</v>
      </c>
      <c r="C57" s="41" t="s">
        <v>2901</v>
      </c>
      <c r="D57" s="60">
        <v>0</v>
      </c>
      <c r="E57" s="60">
        <v>0</v>
      </c>
      <c r="F57" s="60">
        <v>0</v>
      </c>
      <c r="G57" s="60">
        <v>0</v>
      </c>
      <c r="H57" s="60">
        <v>0</v>
      </c>
    </row>
    <row r="58" spans="2:14">
      <c r="B58" s="49" t="s">
        <v>3483</v>
      </c>
      <c r="C58" s="41" t="s">
        <v>2903</v>
      </c>
      <c r="D58" s="60">
        <v>467772753.95336962</v>
      </c>
      <c r="E58" s="60">
        <v>331927096.18000001</v>
      </c>
      <c r="F58" s="60">
        <v>39697239.290000014</v>
      </c>
      <c r="G58" s="60">
        <v>16565403.009999996</v>
      </c>
      <c r="H58" s="60">
        <v>7670569.2500000009</v>
      </c>
    </row>
    <row r="59" spans="2:14">
      <c r="B59" s="49" t="s">
        <v>3484</v>
      </c>
      <c r="C59" s="41" t="s">
        <v>2905</v>
      </c>
      <c r="D59" s="60">
        <v>61520063.260000013</v>
      </c>
      <c r="E59" s="60">
        <v>5483723.6400000006</v>
      </c>
      <c r="F59" s="60">
        <v>33261.949999999997</v>
      </c>
      <c r="G59" s="60">
        <v>3932996.03</v>
      </c>
      <c r="H59" s="60">
        <v>677586.23</v>
      </c>
    </row>
    <row r="60" spans="2:14">
      <c r="B60" s="49" t="s">
        <v>3485</v>
      </c>
      <c r="C60" s="41" t="s">
        <v>2907</v>
      </c>
      <c r="D60" s="60">
        <v>54807103.279008619</v>
      </c>
      <c r="E60" s="60">
        <v>3811937.6767860148</v>
      </c>
      <c r="F60" s="60">
        <v>0</v>
      </c>
      <c r="G60" s="60">
        <v>0</v>
      </c>
      <c r="H60" s="60">
        <v>1910267.252525423</v>
      </c>
    </row>
    <row r="61" spans="2:14">
      <c r="B61" s="49" t="s">
        <v>3486</v>
      </c>
      <c r="C61" s="41" t="s">
        <v>2919</v>
      </c>
      <c r="D61" s="60">
        <v>474485713.93436098</v>
      </c>
      <c r="E61" s="60">
        <v>333598882.14321399</v>
      </c>
      <c r="F61" s="60">
        <v>39730501.240000017</v>
      </c>
      <c r="G61" s="60">
        <v>20498399.039999995</v>
      </c>
      <c r="H61" s="60">
        <v>6437888.2274745777</v>
      </c>
    </row>
    <row r="62" spans="2:14">
      <c r="B62" s="47" t="s">
        <v>3487</v>
      </c>
      <c r="C62" s="44" t="s">
        <v>2878</v>
      </c>
      <c r="D62" s="46"/>
      <c r="E62" s="46"/>
      <c r="F62" s="46"/>
      <c r="G62" s="46"/>
      <c r="H62" s="46"/>
    </row>
    <row r="63" spans="2:14">
      <c r="B63" s="49" t="s">
        <v>3482</v>
      </c>
      <c r="C63" s="41" t="s">
        <v>2921</v>
      </c>
      <c r="D63" s="60">
        <v>0</v>
      </c>
      <c r="E63" s="60">
        <v>0</v>
      </c>
      <c r="F63" s="60">
        <v>0</v>
      </c>
      <c r="G63" s="60">
        <v>0</v>
      </c>
      <c r="H63" s="60">
        <v>0</v>
      </c>
    </row>
    <row r="64" spans="2:14">
      <c r="B64" s="49" t="s">
        <v>3483</v>
      </c>
      <c r="C64" s="41" t="s">
        <v>2923</v>
      </c>
      <c r="D64" s="60">
        <v>506434968.91967309</v>
      </c>
      <c r="E64" s="60">
        <v>326979765.04000002</v>
      </c>
      <c r="F64" s="60">
        <v>27738835.400000017</v>
      </c>
      <c r="G64" s="60">
        <v>16565403.009999996</v>
      </c>
      <c r="H64" s="60">
        <v>7670569.2500000009</v>
      </c>
    </row>
    <row r="65" spans="2:8">
      <c r="B65" s="49" t="s">
        <v>3484</v>
      </c>
      <c r="C65" s="41" t="s">
        <v>2925</v>
      </c>
      <c r="D65" s="60">
        <v>59820021.150000021</v>
      </c>
      <c r="E65" s="60">
        <v>5483723.8500000006</v>
      </c>
      <c r="F65" s="60">
        <v>33576.899999999994</v>
      </c>
      <c r="G65" s="60">
        <v>4168184.2999999989</v>
      </c>
      <c r="H65" s="60">
        <v>648893.52</v>
      </c>
    </row>
    <row r="66" spans="2:8">
      <c r="B66" s="49" t="s">
        <v>3485</v>
      </c>
      <c r="C66" s="41" t="s">
        <v>2927</v>
      </c>
      <c r="D66" s="60">
        <v>53632219.948126614</v>
      </c>
      <c r="E66" s="60">
        <v>3788094.8356879484</v>
      </c>
      <c r="F66" s="60">
        <v>0</v>
      </c>
      <c r="G66" s="60">
        <v>0</v>
      </c>
      <c r="H66" s="60">
        <v>1864004.0147958957</v>
      </c>
    </row>
    <row r="67" spans="2:8">
      <c r="B67" s="49" t="s">
        <v>3486</v>
      </c>
      <c r="C67" s="41" t="s">
        <v>2939</v>
      </c>
      <c r="D67" s="60">
        <v>512622770.12154651</v>
      </c>
      <c r="E67" s="60">
        <v>328675394.05431211</v>
      </c>
      <c r="F67" s="60">
        <v>27772412.300000016</v>
      </c>
      <c r="G67" s="60">
        <v>20733587.309999995</v>
      </c>
      <c r="H67" s="60">
        <v>6455458.7552041057</v>
      </c>
    </row>
    <row r="68" spans="2:8">
      <c r="B68" s="47" t="s">
        <v>3438</v>
      </c>
      <c r="C68" s="44" t="s">
        <v>2878</v>
      </c>
      <c r="D68" s="46"/>
      <c r="E68" s="46"/>
      <c r="F68" s="46"/>
      <c r="G68" s="46"/>
      <c r="H68" s="46"/>
    </row>
    <row r="69" spans="2:8">
      <c r="B69" s="49" t="s">
        <v>3482</v>
      </c>
      <c r="C69" s="41" t="s">
        <v>2941</v>
      </c>
      <c r="D69" s="60">
        <v>0</v>
      </c>
      <c r="E69" s="60">
        <v>0</v>
      </c>
      <c r="F69" s="60">
        <v>0</v>
      </c>
      <c r="G69" s="60">
        <v>0</v>
      </c>
      <c r="H69" s="60">
        <v>0</v>
      </c>
    </row>
    <row r="70" spans="2:8">
      <c r="B70" s="49" t="s">
        <v>3483</v>
      </c>
      <c r="C70" s="41" t="s">
        <v>2943</v>
      </c>
      <c r="D70" s="60">
        <v>363311338.78944796</v>
      </c>
      <c r="E70" s="60">
        <v>197080502.11999992</v>
      </c>
      <c r="F70" s="60">
        <v>14254892.920000017</v>
      </c>
      <c r="G70" s="60">
        <v>16121499.170000002</v>
      </c>
      <c r="H70" s="60">
        <v>287400.91000000149</v>
      </c>
    </row>
    <row r="71" spans="2:8">
      <c r="B71" s="49" t="s">
        <v>3484</v>
      </c>
      <c r="C71" s="41" t="s">
        <v>2945</v>
      </c>
      <c r="D71" s="60">
        <v>-9394188.3127939887</v>
      </c>
      <c r="E71" s="60">
        <v>1077634.3900000001</v>
      </c>
      <c r="F71" s="60">
        <v>200000.03999999992</v>
      </c>
      <c r="G71" s="60">
        <v>7340000</v>
      </c>
      <c r="H71" s="60">
        <v>270741.56000000006</v>
      </c>
    </row>
    <row r="72" spans="2:8">
      <c r="B72" s="49" t="s">
        <v>3485</v>
      </c>
      <c r="C72" s="41" t="s">
        <v>2947</v>
      </c>
      <c r="D72" s="60">
        <v>1038545.5100000002</v>
      </c>
      <c r="E72" s="60">
        <v>0</v>
      </c>
      <c r="F72" s="60">
        <v>0</v>
      </c>
      <c r="G72" s="60">
        <v>0</v>
      </c>
      <c r="H72" s="60">
        <v>-6698.43</v>
      </c>
    </row>
    <row r="73" spans="2:8">
      <c r="B73" s="49" t="s">
        <v>3486</v>
      </c>
      <c r="C73" s="41" t="s">
        <v>2959</v>
      </c>
      <c r="D73" s="60">
        <v>352878604.96665394</v>
      </c>
      <c r="E73" s="60">
        <v>198158136.5099999</v>
      </c>
      <c r="F73" s="60">
        <v>14454892.960000016</v>
      </c>
      <c r="G73" s="60">
        <v>23461499.170000002</v>
      </c>
      <c r="H73" s="60">
        <v>564840.90000000154</v>
      </c>
    </row>
    <row r="74" spans="2:8">
      <c r="B74" s="47" t="s">
        <v>3488</v>
      </c>
      <c r="C74" s="44" t="s">
        <v>2878</v>
      </c>
      <c r="D74" s="46"/>
      <c r="E74" s="46"/>
      <c r="F74" s="46"/>
      <c r="G74" s="46"/>
      <c r="H74" s="46"/>
    </row>
    <row r="75" spans="2:8">
      <c r="B75" s="49" t="s">
        <v>3482</v>
      </c>
      <c r="C75" s="41" t="s">
        <v>2961</v>
      </c>
      <c r="D75" s="60">
        <v>0</v>
      </c>
      <c r="E75" s="60">
        <v>0</v>
      </c>
      <c r="F75" s="60">
        <v>0</v>
      </c>
      <c r="G75" s="60">
        <v>0</v>
      </c>
      <c r="H75" s="60">
        <v>0</v>
      </c>
    </row>
    <row r="76" spans="2:8">
      <c r="B76" s="49" t="s">
        <v>3483</v>
      </c>
      <c r="C76" s="41" t="s">
        <v>2963</v>
      </c>
      <c r="D76" s="60">
        <v>0</v>
      </c>
      <c r="E76" s="60">
        <v>0</v>
      </c>
      <c r="F76" s="60">
        <v>0</v>
      </c>
      <c r="G76" s="60">
        <v>0</v>
      </c>
      <c r="H76" s="60">
        <v>0</v>
      </c>
    </row>
    <row r="77" spans="2:8">
      <c r="B77" s="49" t="s">
        <v>3484</v>
      </c>
      <c r="C77" s="41" t="s">
        <v>2965</v>
      </c>
      <c r="D77" s="60">
        <v>0</v>
      </c>
      <c r="E77" s="60">
        <v>0</v>
      </c>
      <c r="F77" s="60">
        <v>0</v>
      </c>
      <c r="G77" s="60">
        <v>0</v>
      </c>
      <c r="H77" s="60">
        <v>0</v>
      </c>
    </row>
    <row r="78" spans="2:8">
      <c r="B78" s="49" t="s">
        <v>3485</v>
      </c>
      <c r="C78" s="41" t="s">
        <v>2967</v>
      </c>
      <c r="D78" s="60">
        <v>0</v>
      </c>
      <c r="E78" s="60">
        <v>0</v>
      </c>
      <c r="F78" s="60">
        <v>0</v>
      </c>
      <c r="G78" s="60">
        <v>0</v>
      </c>
      <c r="H78" s="60">
        <v>0</v>
      </c>
    </row>
    <row r="79" spans="2:8">
      <c r="B79" s="49" t="s">
        <v>3486</v>
      </c>
      <c r="C79" s="41" t="s">
        <v>2977</v>
      </c>
      <c r="D79" s="60">
        <v>0</v>
      </c>
      <c r="E79" s="60">
        <v>0</v>
      </c>
      <c r="F79" s="60">
        <v>0</v>
      </c>
      <c r="G79" s="60">
        <v>0</v>
      </c>
      <c r="H79" s="60">
        <v>0</v>
      </c>
    </row>
    <row r="80" spans="2:8">
      <c r="B80" s="47" t="s">
        <v>3490</v>
      </c>
      <c r="C80" s="41" t="s">
        <v>2987</v>
      </c>
      <c r="D80" s="60">
        <v>180995603.4940021</v>
      </c>
      <c r="E80" s="60">
        <v>109793962.56342116</v>
      </c>
      <c r="F80" s="60">
        <v>8293048.4982954469</v>
      </c>
      <c r="G80" s="60">
        <v>733219.72930413974</v>
      </c>
      <c r="H80" s="60">
        <v>1828725.5213392992</v>
      </c>
    </row>
    <row r="81" spans="2:12">
      <c r="B81" s="47" t="s">
        <v>3501</v>
      </c>
      <c r="C81" s="44" t="s">
        <v>3502</v>
      </c>
      <c r="D81" s="48"/>
      <c r="E81" s="48"/>
      <c r="F81" s="48"/>
      <c r="G81" s="48"/>
      <c r="H81" s="48"/>
    </row>
    <row r="82" spans="2:12">
      <c r="B82" s="47" t="s">
        <v>3503</v>
      </c>
      <c r="C82" s="44" t="s">
        <v>3504</v>
      </c>
      <c r="D82" s="46"/>
      <c r="E82" s="46"/>
      <c r="F82" s="46"/>
      <c r="G82" s="46"/>
      <c r="H82" s="46"/>
    </row>
    <row r="84" spans="2:12">
      <c r="I84" s="13"/>
      <c r="J84" s="13"/>
    </row>
    <row r="86" spans="2:12" ht="18.75">
      <c r="B86" s="88" t="s">
        <v>3562</v>
      </c>
      <c r="C86" s="87"/>
      <c r="D86" s="87"/>
      <c r="E86" s="87"/>
      <c r="F86" s="87"/>
      <c r="G86" s="87"/>
      <c r="H86" s="87"/>
      <c r="I86" s="87"/>
      <c r="J86" s="87"/>
      <c r="K86" s="87"/>
      <c r="L86" s="87"/>
    </row>
    <row r="90" spans="2:12">
      <c r="D90" s="89" t="s">
        <v>2877</v>
      </c>
    </row>
    <row r="91" spans="2:12">
      <c r="D91" s="91"/>
    </row>
    <row r="92" spans="2:12">
      <c r="D92" s="89" t="s">
        <v>3563</v>
      </c>
    </row>
    <row r="93" spans="2:12">
      <c r="D93" s="91"/>
    </row>
    <row r="94" spans="2:12">
      <c r="D94" s="45" t="s">
        <v>3475</v>
      </c>
      <c r="I94" s="13"/>
      <c r="J94" s="13"/>
    </row>
    <row r="95" spans="2:12">
      <c r="B95" s="43" t="s">
        <v>2880</v>
      </c>
      <c r="C95" s="44" t="s">
        <v>2878</v>
      </c>
      <c r="D95" s="48"/>
    </row>
    <row r="96" spans="2:12">
      <c r="B96" s="47" t="s">
        <v>3437</v>
      </c>
      <c r="C96" s="44" t="s">
        <v>2878</v>
      </c>
      <c r="D96" s="46"/>
    </row>
    <row r="97" spans="2:4">
      <c r="B97" s="49" t="s">
        <v>3482</v>
      </c>
      <c r="C97" s="41" t="s">
        <v>2901</v>
      </c>
      <c r="D97" s="60">
        <v>0</v>
      </c>
    </row>
    <row r="98" spans="2:4">
      <c r="B98" s="49" t="s">
        <v>3483</v>
      </c>
      <c r="C98" s="41" t="s">
        <v>2903</v>
      </c>
      <c r="D98" s="60">
        <v>1442618929.5158696</v>
      </c>
    </row>
    <row r="99" spans="2:4">
      <c r="B99" s="49" t="s">
        <v>3484</v>
      </c>
      <c r="C99" s="41" t="s">
        <v>2905</v>
      </c>
      <c r="D99" s="60">
        <v>101952115.05000001</v>
      </c>
    </row>
    <row r="100" spans="2:4">
      <c r="B100" s="49" t="s">
        <v>3485</v>
      </c>
      <c r="C100" s="41" t="s">
        <v>2907</v>
      </c>
      <c r="D100" s="60">
        <v>91400794.770684376</v>
      </c>
    </row>
    <row r="101" spans="2:4">
      <c r="B101" s="49" t="s">
        <v>3486</v>
      </c>
      <c r="C101" s="41" t="s">
        <v>2919</v>
      </c>
      <c r="D101" s="60">
        <v>1453170249.7951853</v>
      </c>
    </row>
    <row r="102" spans="2:4">
      <c r="B102" s="47" t="s">
        <v>3487</v>
      </c>
      <c r="C102" s="44" t="s">
        <v>2878</v>
      </c>
      <c r="D102" s="46"/>
    </row>
    <row r="103" spans="2:4">
      <c r="B103" s="49" t="s">
        <v>3482</v>
      </c>
      <c r="C103" s="41" t="s">
        <v>2921</v>
      </c>
      <c r="D103" s="60">
        <v>0</v>
      </c>
    </row>
    <row r="104" spans="2:4">
      <c r="B104" s="49" t="s">
        <v>3483</v>
      </c>
      <c r="C104" s="41" t="s">
        <v>2923</v>
      </c>
      <c r="D104" s="60">
        <v>1459559984.1121731</v>
      </c>
    </row>
    <row r="105" spans="2:4">
      <c r="B105" s="49" t="s">
        <v>3484</v>
      </c>
      <c r="C105" s="41" t="s">
        <v>2925</v>
      </c>
      <c r="D105" s="60">
        <v>100458883.97</v>
      </c>
    </row>
    <row r="106" spans="2:4">
      <c r="B106" s="49" t="s">
        <v>3485</v>
      </c>
      <c r="C106" s="41" t="s">
        <v>2927</v>
      </c>
      <c r="D106" s="60">
        <v>89984169.876446024</v>
      </c>
    </row>
    <row r="107" spans="2:4">
      <c r="B107" s="49" t="s">
        <v>3486</v>
      </c>
      <c r="C107" s="41" t="s">
        <v>2939</v>
      </c>
      <c r="D107" s="60">
        <v>1470034698.2057271</v>
      </c>
    </row>
    <row r="108" spans="2:4">
      <c r="B108" s="47" t="s">
        <v>3438</v>
      </c>
      <c r="C108" s="44" t="s">
        <v>2878</v>
      </c>
      <c r="D108" s="46"/>
    </row>
    <row r="109" spans="2:4">
      <c r="B109" s="49" t="s">
        <v>3482</v>
      </c>
      <c r="C109" s="41" t="s">
        <v>2941</v>
      </c>
      <c r="D109" s="60">
        <v>0</v>
      </c>
    </row>
    <row r="110" spans="2:4">
      <c r="B110" s="49" t="s">
        <v>3483</v>
      </c>
      <c r="C110" s="41" t="s">
        <v>2943</v>
      </c>
      <c r="D110" s="60">
        <v>918368809.47444785</v>
      </c>
    </row>
    <row r="111" spans="2:4">
      <c r="B111" s="49" t="s">
        <v>3484</v>
      </c>
      <c r="C111" s="41" t="s">
        <v>2945</v>
      </c>
      <c r="D111" s="60">
        <v>44079133.92720601</v>
      </c>
    </row>
    <row r="112" spans="2:4">
      <c r="B112" s="49" t="s">
        <v>3485</v>
      </c>
      <c r="C112" s="41" t="s">
        <v>2947</v>
      </c>
      <c r="D112" s="60">
        <v>38791484.369999997</v>
      </c>
    </row>
    <row r="113" spans="2:12">
      <c r="B113" s="49" t="s">
        <v>3486</v>
      </c>
      <c r="C113" s="41" t="s">
        <v>2959</v>
      </c>
      <c r="D113" s="60">
        <v>923656459.03165364</v>
      </c>
    </row>
    <row r="114" spans="2:12">
      <c r="B114" s="47" t="s">
        <v>3488</v>
      </c>
      <c r="C114" s="44" t="s">
        <v>2878</v>
      </c>
      <c r="D114" s="46"/>
    </row>
    <row r="115" spans="2:12">
      <c r="B115" s="49" t="s">
        <v>3482</v>
      </c>
      <c r="C115" s="41" t="s">
        <v>2961</v>
      </c>
      <c r="D115" s="60">
        <v>0</v>
      </c>
    </row>
    <row r="116" spans="2:12">
      <c r="B116" s="49" t="s">
        <v>3483</v>
      </c>
      <c r="C116" s="41" t="s">
        <v>2963</v>
      </c>
      <c r="D116" s="60">
        <v>0</v>
      </c>
    </row>
    <row r="117" spans="2:12">
      <c r="B117" s="49" t="s">
        <v>3484</v>
      </c>
      <c r="C117" s="41" t="s">
        <v>2965</v>
      </c>
      <c r="D117" s="60">
        <v>0</v>
      </c>
    </row>
    <row r="118" spans="2:12">
      <c r="B118" s="49" t="s">
        <v>3485</v>
      </c>
      <c r="C118" s="41" t="s">
        <v>2967</v>
      </c>
      <c r="D118" s="60">
        <v>0</v>
      </c>
    </row>
    <row r="119" spans="2:12">
      <c r="B119" s="49" t="s">
        <v>3486</v>
      </c>
      <c r="C119" s="41" t="s">
        <v>2977</v>
      </c>
      <c r="D119" s="60">
        <v>0</v>
      </c>
    </row>
    <row r="120" spans="2:12">
      <c r="B120" s="47" t="s">
        <v>3490</v>
      </c>
      <c r="C120" s="41" t="s">
        <v>2987</v>
      </c>
      <c r="D120" s="60">
        <v>534940237.38637626</v>
      </c>
    </row>
    <row r="121" spans="2:12">
      <c r="B121" s="47" t="s">
        <v>3501</v>
      </c>
      <c r="C121" s="41" t="s">
        <v>3502</v>
      </c>
      <c r="D121" s="60">
        <v>0</v>
      </c>
    </row>
    <row r="122" spans="2:12">
      <c r="B122" s="47" t="s">
        <v>3503</v>
      </c>
      <c r="C122" s="41" t="s">
        <v>3504</v>
      </c>
      <c r="D122" s="60">
        <v>534940237.38637626</v>
      </c>
    </row>
    <row r="124" spans="2:12">
      <c r="I124" s="13"/>
      <c r="J124" s="13"/>
    </row>
    <row r="126" spans="2:12" ht="18.75">
      <c r="B126" s="88" t="s">
        <v>3564</v>
      </c>
      <c r="C126" s="87"/>
      <c r="D126" s="87"/>
      <c r="E126" s="87"/>
      <c r="F126" s="87"/>
      <c r="G126" s="87"/>
      <c r="H126" s="87"/>
      <c r="I126" s="87"/>
      <c r="J126" s="87"/>
      <c r="K126" s="87"/>
      <c r="L126" s="87"/>
    </row>
    <row r="130" spans="2:10">
      <c r="D130" s="89" t="s">
        <v>2877</v>
      </c>
    </row>
    <row r="131" spans="2:10">
      <c r="D131" s="91"/>
    </row>
    <row r="132" spans="2:10">
      <c r="D132" s="89" t="s">
        <v>3559</v>
      </c>
    </row>
    <row r="133" spans="2:10">
      <c r="D133" s="91"/>
    </row>
    <row r="134" spans="2:10">
      <c r="D134" s="45" t="s">
        <v>3509</v>
      </c>
      <c r="I134" s="13"/>
      <c r="J134" s="13"/>
    </row>
    <row r="135" spans="2:10">
      <c r="B135" s="43" t="s">
        <v>2880</v>
      </c>
      <c r="C135" s="44" t="s">
        <v>2878</v>
      </c>
      <c r="D135" s="48"/>
    </row>
    <row r="136" spans="2:10">
      <c r="B136" s="47" t="s">
        <v>3437</v>
      </c>
      <c r="C136" s="44" t="s">
        <v>2878</v>
      </c>
      <c r="D136" s="46"/>
    </row>
    <row r="137" spans="2:10">
      <c r="B137" s="49" t="s">
        <v>3520</v>
      </c>
      <c r="C137" s="41" t="s">
        <v>3521</v>
      </c>
      <c r="D137" s="60"/>
    </row>
    <row r="138" spans="2:10">
      <c r="B138" s="49" t="s">
        <v>3485</v>
      </c>
      <c r="C138" s="41" t="s">
        <v>3522</v>
      </c>
      <c r="D138" s="60"/>
    </row>
    <row r="139" spans="2:10">
      <c r="B139" s="49" t="s">
        <v>3486</v>
      </c>
      <c r="C139" s="41" t="s">
        <v>3523</v>
      </c>
      <c r="D139" s="63"/>
    </row>
    <row r="140" spans="2:10">
      <c r="B140" s="47" t="s">
        <v>3487</v>
      </c>
      <c r="C140" s="44" t="s">
        <v>2878</v>
      </c>
      <c r="D140" s="46"/>
    </row>
    <row r="141" spans="2:10">
      <c r="B141" s="49" t="s">
        <v>3520</v>
      </c>
      <c r="C141" s="41" t="s">
        <v>3524</v>
      </c>
      <c r="D141" s="60"/>
    </row>
    <row r="142" spans="2:10">
      <c r="B142" s="49" t="s">
        <v>3485</v>
      </c>
      <c r="C142" s="41" t="s">
        <v>3525</v>
      </c>
      <c r="D142" s="60"/>
    </row>
    <row r="143" spans="2:10">
      <c r="B143" s="49" t="s">
        <v>3486</v>
      </c>
      <c r="C143" s="41" t="s">
        <v>3526</v>
      </c>
      <c r="D143" s="63"/>
    </row>
    <row r="144" spans="2:10">
      <c r="B144" s="47" t="s">
        <v>3438</v>
      </c>
      <c r="C144" s="44" t="s">
        <v>2878</v>
      </c>
      <c r="D144" s="46"/>
    </row>
    <row r="145" spans="2:12">
      <c r="B145" s="49" t="s">
        <v>3520</v>
      </c>
      <c r="C145" s="41" t="s">
        <v>3527</v>
      </c>
      <c r="D145" s="60"/>
    </row>
    <row r="146" spans="2:12">
      <c r="B146" s="49" t="s">
        <v>3485</v>
      </c>
      <c r="C146" s="41" t="s">
        <v>3528</v>
      </c>
      <c r="D146" s="60"/>
    </row>
    <row r="147" spans="2:12">
      <c r="B147" s="49" t="s">
        <v>3486</v>
      </c>
      <c r="C147" s="41" t="s">
        <v>3529</v>
      </c>
      <c r="D147" s="63"/>
    </row>
    <row r="148" spans="2:12">
      <c r="B148" s="47" t="s">
        <v>3488</v>
      </c>
      <c r="C148" s="44" t="s">
        <v>2878</v>
      </c>
      <c r="D148" s="46"/>
    </row>
    <row r="149" spans="2:12">
      <c r="B149" s="49" t="s">
        <v>3520</v>
      </c>
      <c r="C149" s="41" t="s">
        <v>3530</v>
      </c>
      <c r="D149" s="60"/>
    </row>
    <row r="150" spans="2:12">
      <c r="B150" s="49" t="s">
        <v>3485</v>
      </c>
      <c r="C150" s="41" t="s">
        <v>3531</v>
      </c>
      <c r="D150" s="60"/>
    </row>
    <row r="151" spans="2:12">
      <c r="B151" s="49" t="s">
        <v>3486</v>
      </c>
      <c r="C151" s="41" t="s">
        <v>3532</v>
      </c>
      <c r="D151" s="60"/>
    </row>
    <row r="152" spans="2:12">
      <c r="B152" s="47" t="s">
        <v>3490</v>
      </c>
      <c r="C152" s="41" t="s">
        <v>3533</v>
      </c>
      <c r="D152" s="63"/>
    </row>
    <row r="153" spans="2:12">
      <c r="B153" s="47" t="s">
        <v>3501</v>
      </c>
      <c r="C153" s="44" t="s">
        <v>3549</v>
      </c>
      <c r="D153" s="48"/>
    </row>
    <row r="154" spans="2:12">
      <c r="B154" s="47" t="s">
        <v>3503</v>
      </c>
      <c r="C154" s="44" t="s">
        <v>3550</v>
      </c>
      <c r="D154" s="46"/>
    </row>
    <row r="156" spans="2:12">
      <c r="I156" s="13"/>
      <c r="J156" s="13"/>
    </row>
    <row r="158" spans="2:12" ht="18.75">
      <c r="B158" s="88" t="s">
        <v>3565</v>
      </c>
      <c r="C158" s="87"/>
      <c r="D158" s="87"/>
      <c r="E158" s="87"/>
      <c r="F158" s="87"/>
      <c r="G158" s="87"/>
      <c r="H158" s="87"/>
      <c r="I158" s="87"/>
      <c r="J158" s="87"/>
      <c r="K158" s="87"/>
      <c r="L158" s="87"/>
    </row>
    <row r="162" spans="2:11">
      <c r="D162" s="89" t="s">
        <v>2877</v>
      </c>
      <c r="E162" s="89" t="s">
        <v>2877</v>
      </c>
    </row>
    <row r="163" spans="2:11">
      <c r="D163" s="91"/>
      <c r="E163" s="91"/>
    </row>
    <row r="164" spans="2:11">
      <c r="D164" s="89" t="s">
        <v>3566</v>
      </c>
      <c r="E164" s="89" t="s">
        <v>3566</v>
      </c>
    </row>
    <row r="165" spans="2:11">
      <c r="D165" s="91"/>
      <c r="E165" s="91"/>
    </row>
    <row r="166" spans="2:11">
      <c r="D166" s="42" t="s">
        <v>3511</v>
      </c>
      <c r="E166" s="42" t="s">
        <v>3511</v>
      </c>
      <c r="J166" s="13"/>
      <c r="K166" s="13"/>
    </row>
    <row r="167" spans="2:11">
      <c r="B167" s="43" t="s">
        <v>56</v>
      </c>
      <c r="C167" s="41" t="s">
        <v>2883</v>
      </c>
      <c r="D167" s="68" t="s">
        <v>389</v>
      </c>
      <c r="E167" s="68" t="s">
        <v>197</v>
      </c>
    </row>
    <row r="168" spans="2:11">
      <c r="B168" s="43" t="s">
        <v>2880</v>
      </c>
      <c r="C168" s="44" t="s">
        <v>2878</v>
      </c>
      <c r="D168" s="48"/>
      <c r="E168" s="48"/>
    </row>
    <row r="169" spans="2:11">
      <c r="B169" s="47" t="s">
        <v>3437</v>
      </c>
      <c r="C169" s="44" t="s">
        <v>2878</v>
      </c>
      <c r="D169" s="46"/>
      <c r="E169" s="46"/>
    </row>
    <row r="170" spans="2:11">
      <c r="B170" s="49" t="s">
        <v>3520</v>
      </c>
      <c r="C170" s="41" t="s">
        <v>3521</v>
      </c>
      <c r="D170" s="60">
        <v>833603.88000000082</v>
      </c>
      <c r="E170" s="60">
        <v>29359173</v>
      </c>
    </row>
    <row r="171" spans="2:11">
      <c r="B171" s="49" t="s">
        <v>3485</v>
      </c>
      <c r="C171" s="41" t="s">
        <v>3522</v>
      </c>
      <c r="D171" s="60">
        <v>0</v>
      </c>
      <c r="E171" s="60">
        <v>0</v>
      </c>
    </row>
    <row r="172" spans="2:11">
      <c r="B172" s="49" t="s">
        <v>3486</v>
      </c>
      <c r="C172" s="41" t="s">
        <v>3523</v>
      </c>
      <c r="D172" s="60">
        <v>833603.88000000082</v>
      </c>
      <c r="E172" s="60">
        <v>29359173</v>
      </c>
    </row>
    <row r="173" spans="2:11">
      <c r="B173" s="47" t="s">
        <v>3487</v>
      </c>
      <c r="C173" s="44" t="s">
        <v>2878</v>
      </c>
      <c r="D173" s="46"/>
      <c r="E173" s="46"/>
    </row>
    <row r="174" spans="2:11">
      <c r="B174" s="49" t="s">
        <v>3520</v>
      </c>
      <c r="C174" s="41" t="s">
        <v>3524</v>
      </c>
      <c r="D174" s="60">
        <v>833603.89000000083</v>
      </c>
      <c r="E174" s="60">
        <v>29359173</v>
      </c>
    </row>
    <row r="175" spans="2:11">
      <c r="B175" s="49" t="s">
        <v>3485</v>
      </c>
      <c r="C175" s="41" t="s">
        <v>3525</v>
      </c>
      <c r="D175" s="60">
        <v>0</v>
      </c>
      <c r="E175" s="60">
        <v>0</v>
      </c>
    </row>
    <row r="176" spans="2:11">
      <c r="B176" s="49" t="s">
        <v>3486</v>
      </c>
      <c r="C176" s="41" t="s">
        <v>3526</v>
      </c>
      <c r="D176" s="60">
        <v>833603.89000000083</v>
      </c>
      <c r="E176" s="60">
        <v>29359173</v>
      </c>
    </row>
    <row r="177" spans="2:12">
      <c r="B177" s="47" t="s">
        <v>3438</v>
      </c>
      <c r="C177" s="44" t="s">
        <v>2878</v>
      </c>
      <c r="D177" s="46"/>
      <c r="E177" s="46"/>
    </row>
    <row r="178" spans="2:12">
      <c r="B178" s="49" t="s">
        <v>3520</v>
      </c>
      <c r="C178" s="41" t="s">
        <v>3527</v>
      </c>
      <c r="D178" s="60">
        <v>2806140.1999999993</v>
      </c>
      <c r="E178" s="60">
        <v>26707839</v>
      </c>
    </row>
    <row r="179" spans="2:12">
      <c r="B179" s="49" t="s">
        <v>3485</v>
      </c>
      <c r="C179" s="41" t="s">
        <v>3528</v>
      </c>
      <c r="D179" s="60">
        <v>0</v>
      </c>
      <c r="E179" s="60">
        <v>0</v>
      </c>
    </row>
    <row r="180" spans="2:12">
      <c r="B180" s="49" t="s">
        <v>3486</v>
      </c>
      <c r="C180" s="41" t="s">
        <v>3529</v>
      </c>
      <c r="D180" s="60">
        <v>2806140.1999999993</v>
      </c>
      <c r="E180" s="60">
        <v>26707839</v>
      </c>
    </row>
    <row r="181" spans="2:12">
      <c r="B181" s="47" t="s">
        <v>3488</v>
      </c>
      <c r="C181" s="44" t="s">
        <v>2878</v>
      </c>
      <c r="D181" s="46"/>
      <c r="E181" s="46"/>
    </row>
    <row r="182" spans="2:12">
      <c r="B182" s="49" t="s">
        <v>3520</v>
      </c>
      <c r="C182" s="41" t="s">
        <v>3530</v>
      </c>
      <c r="D182" s="60">
        <v>0</v>
      </c>
      <c r="E182" s="60">
        <v>0</v>
      </c>
    </row>
    <row r="183" spans="2:12">
      <c r="B183" s="49" t="s">
        <v>3485</v>
      </c>
      <c r="C183" s="41" t="s">
        <v>3531</v>
      </c>
      <c r="D183" s="60">
        <v>0</v>
      </c>
      <c r="E183" s="60">
        <v>0</v>
      </c>
    </row>
    <row r="184" spans="2:12">
      <c r="B184" s="49" t="s">
        <v>3486</v>
      </c>
      <c r="C184" s="41" t="s">
        <v>3532</v>
      </c>
      <c r="D184" s="60">
        <v>0</v>
      </c>
      <c r="E184" s="60">
        <v>0</v>
      </c>
    </row>
    <row r="185" spans="2:12">
      <c r="B185" s="47" t="s">
        <v>3490</v>
      </c>
      <c r="C185" s="41" t="s">
        <v>3533</v>
      </c>
      <c r="D185" s="60">
        <v>166878.53929090718</v>
      </c>
      <c r="E185" s="60">
        <v>740382.4650000002</v>
      </c>
    </row>
    <row r="186" spans="2:12">
      <c r="B186" s="47" t="s">
        <v>3501</v>
      </c>
      <c r="C186" s="44" t="s">
        <v>3549</v>
      </c>
      <c r="D186" s="48"/>
      <c r="E186" s="48"/>
    </row>
    <row r="187" spans="2:12">
      <c r="B187" s="47" t="s">
        <v>3503</v>
      </c>
      <c r="C187" s="44" t="s">
        <v>3550</v>
      </c>
      <c r="D187" s="46"/>
      <c r="E187" s="46"/>
    </row>
    <row r="189" spans="2:12">
      <c r="I189" s="13"/>
      <c r="J189" s="13"/>
    </row>
    <row r="191" spans="2:12" ht="18.75">
      <c r="B191" s="88" t="s">
        <v>3567</v>
      </c>
      <c r="C191" s="87"/>
      <c r="D191" s="87"/>
      <c r="E191" s="87"/>
      <c r="F191" s="87"/>
      <c r="G191" s="87"/>
      <c r="H191" s="87"/>
      <c r="I191" s="87"/>
      <c r="J191" s="87"/>
      <c r="K191" s="87"/>
      <c r="L191" s="87"/>
    </row>
    <row r="195" spans="2:10">
      <c r="D195" s="89" t="s">
        <v>2877</v>
      </c>
    </row>
    <row r="196" spans="2:10">
      <c r="D196" s="91"/>
    </row>
    <row r="197" spans="2:10">
      <c r="D197" s="89" t="s">
        <v>3563</v>
      </c>
    </row>
    <row r="198" spans="2:10">
      <c r="D198" s="91"/>
    </row>
    <row r="199" spans="2:10">
      <c r="D199" s="45" t="s">
        <v>3518</v>
      </c>
      <c r="I199" s="13"/>
      <c r="J199" s="13"/>
    </row>
    <row r="200" spans="2:10">
      <c r="B200" s="43" t="s">
        <v>2880</v>
      </c>
      <c r="C200" s="44" t="s">
        <v>2878</v>
      </c>
      <c r="D200" s="48"/>
    </row>
    <row r="201" spans="2:10">
      <c r="B201" s="47" t="s">
        <v>3437</v>
      </c>
      <c r="C201" s="44" t="s">
        <v>2878</v>
      </c>
      <c r="D201" s="46"/>
    </row>
    <row r="202" spans="2:10">
      <c r="B202" s="49" t="s">
        <v>3520</v>
      </c>
      <c r="C202" s="41" t="s">
        <v>3521</v>
      </c>
      <c r="D202" s="60">
        <v>30192776.880000003</v>
      </c>
    </row>
    <row r="203" spans="2:10">
      <c r="B203" s="49" t="s">
        <v>3485</v>
      </c>
      <c r="C203" s="41" t="s">
        <v>3522</v>
      </c>
      <c r="D203" s="60">
        <v>0</v>
      </c>
    </row>
    <row r="204" spans="2:10">
      <c r="B204" s="49" t="s">
        <v>3486</v>
      </c>
      <c r="C204" s="41" t="s">
        <v>3523</v>
      </c>
      <c r="D204" s="60">
        <v>30192776.880000003</v>
      </c>
    </row>
    <row r="205" spans="2:10">
      <c r="B205" s="47" t="s">
        <v>3487</v>
      </c>
      <c r="C205" s="44" t="s">
        <v>2878</v>
      </c>
      <c r="D205" s="46"/>
    </row>
    <row r="206" spans="2:10">
      <c r="B206" s="49" t="s">
        <v>3520</v>
      </c>
      <c r="C206" s="41" t="s">
        <v>3524</v>
      </c>
      <c r="D206" s="60">
        <v>30192776.890000001</v>
      </c>
    </row>
    <row r="207" spans="2:10">
      <c r="B207" s="49" t="s">
        <v>3485</v>
      </c>
      <c r="C207" s="41" t="s">
        <v>3525</v>
      </c>
      <c r="D207" s="60">
        <v>0</v>
      </c>
    </row>
    <row r="208" spans="2:10">
      <c r="B208" s="49" t="s">
        <v>3486</v>
      </c>
      <c r="C208" s="41" t="s">
        <v>3526</v>
      </c>
      <c r="D208" s="60">
        <v>30192776.890000001</v>
      </c>
    </row>
    <row r="209" spans="2:10">
      <c r="B209" s="47" t="s">
        <v>3438</v>
      </c>
      <c r="C209" s="44" t="s">
        <v>2878</v>
      </c>
      <c r="D209" s="46"/>
    </row>
    <row r="210" spans="2:10">
      <c r="B210" s="49" t="s">
        <v>3520</v>
      </c>
      <c r="C210" s="41" t="s">
        <v>3527</v>
      </c>
      <c r="D210" s="60">
        <v>29513979.199999999</v>
      </c>
    </row>
    <row r="211" spans="2:10">
      <c r="B211" s="49" t="s">
        <v>3485</v>
      </c>
      <c r="C211" s="41" t="s">
        <v>3528</v>
      </c>
      <c r="D211" s="60">
        <v>0</v>
      </c>
    </row>
    <row r="212" spans="2:10">
      <c r="B212" s="49" t="s">
        <v>3486</v>
      </c>
      <c r="C212" s="41" t="s">
        <v>3529</v>
      </c>
      <c r="D212" s="60">
        <v>29513979.199999999</v>
      </c>
    </row>
    <row r="213" spans="2:10">
      <c r="B213" s="47" t="s">
        <v>3488</v>
      </c>
      <c r="C213" s="44" t="s">
        <v>2878</v>
      </c>
      <c r="D213" s="46"/>
    </row>
    <row r="214" spans="2:10">
      <c r="B214" s="49" t="s">
        <v>3520</v>
      </c>
      <c r="C214" s="41" t="s">
        <v>3530</v>
      </c>
      <c r="D214" s="60">
        <v>0</v>
      </c>
    </row>
    <row r="215" spans="2:10">
      <c r="B215" s="49" t="s">
        <v>3485</v>
      </c>
      <c r="C215" s="41" t="s">
        <v>3531</v>
      </c>
      <c r="D215" s="60">
        <v>0</v>
      </c>
    </row>
    <row r="216" spans="2:10">
      <c r="B216" s="49" t="s">
        <v>3486</v>
      </c>
      <c r="C216" s="41" t="s">
        <v>3532</v>
      </c>
      <c r="D216" s="60">
        <v>0</v>
      </c>
    </row>
    <row r="217" spans="2:10">
      <c r="B217" s="47" t="s">
        <v>3490</v>
      </c>
      <c r="C217" s="41" t="s">
        <v>3533</v>
      </c>
      <c r="D217" s="60">
        <v>907261.00429090741</v>
      </c>
    </row>
    <row r="218" spans="2:10">
      <c r="B218" s="47" t="s">
        <v>3501</v>
      </c>
      <c r="C218" s="41" t="s">
        <v>3549</v>
      </c>
      <c r="D218" s="60">
        <v>0</v>
      </c>
    </row>
    <row r="219" spans="2:10">
      <c r="B219" s="47" t="s">
        <v>3503</v>
      </c>
      <c r="C219" s="41" t="s">
        <v>3550</v>
      </c>
      <c r="D219" s="60">
        <v>907261.00429090741</v>
      </c>
    </row>
    <row r="221" spans="2:10">
      <c r="I221" s="13"/>
      <c r="J221" s="13"/>
    </row>
  </sheetData>
  <mergeCells count="29">
    <mergeCell ref="H49:H50"/>
    <mergeCell ref="F51:F52"/>
    <mergeCell ref="G51:G52"/>
    <mergeCell ref="H51:H52"/>
    <mergeCell ref="E162:E163"/>
    <mergeCell ref="D130:D131"/>
    <mergeCell ref="B2:O2"/>
    <mergeCell ref="B5:L5"/>
    <mergeCell ref="D9:D10"/>
    <mergeCell ref="D11:D12"/>
    <mergeCell ref="B45:L45"/>
    <mergeCell ref="D49:D50"/>
    <mergeCell ref="D51:D52"/>
    <mergeCell ref="B86:L86"/>
    <mergeCell ref="D90:D91"/>
    <mergeCell ref="D92:D93"/>
    <mergeCell ref="B126:L126"/>
    <mergeCell ref="E49:E50"/>
    <mergeCell ref="E51:E52"/>
    <mergeCell ref="F49:F50"/>
    <mergeCell ref="G49:G50"/>
    <mergeCell ref="D197:D198"/>
    <mergeCell ref="D132:D133"/>
    <mergeCell ref="B158:L158"/>
    <mergeCell ref="D162:D163"/>
    <mergeCell ref="D164:D165"/>
    <mergeCell ref="B191:L191"/>
    <mergeCell ref="D195:D196"/>
    <mergeCell ref="E164:E165"/>
  </mergeCells>
  <dataValidations count="1">
    <dataValidation type="list" errorStyle="warning" allowBlank="1" showInputMessage="1" showErrorMessage="1" sqref="D54:H54 D167:E167" xr:uid="{DA4A1C1B-F2E5-4696-86E9-492EB3FAC661}">
      <formula1>hier_GA_18</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BED23-0BD1-4855-8094-33EF94FA62F4}">
  <sheetPr codeName="Blad54"/>
  <dimension ref="B2:O37"/>
  <sheetViews>
    <sheetView showGridLines="0" workbookViewId="0"/>
  </sheetViews>
  <sheetFormatPr defaultRowHeight="15"/>
  <cols>
    <col min="2" max="2" width="45.28515625" bestFit="1" customWidth="1"/>
    <col min="4" max="9" width="15.7109375" customWidth="1"/>
  </cols>
  <sheetData>
    <row r="2" spans="2:15" ht="23.25">
      <c r="B2" s="86" t="s">
        <v>584</v>
      </c>
      <c r="C2" s="87"/>
      <c r="D2" s="87"/>
      <c r="E2" s="87"/>
      <c r="F2" s="87"/>
      <c r="G2" s="87"/>
      <c r="H2" s="87"/>
      <c r="I2" s="87"/>
      <c r="J2" s="87"/>
      <c r="K2" s="87"/>
      <c r="L2" s="87"/>
      <c r="M2" s="87"/>
      <c r="N2" s="87"/>
      <c r="O2" s="87"/>
    </row>
    <row r="5" spans="2:15" ht="18.75">
      <c r="B5" s="88" t="s">
        <v>3568</v>
      </c>
      <c r="C5" s="87"/>
      <c r="D5" s="87"/>
      <c r="E5" s="87"/>
      <c r="F5" s="87"/>
      <c r="G5" s="87"/>
      <c r="H5" s="87"/>
      <c r="I5" s="87"/>
      <c r="J5" s="87"/>
      <c r="K5" s="87"/>
      <c r="L5" s="87"/>
    </row>
    <row r="9" spans="2:15">
      <c r="D9" s="92" t="s">
        <v>2877</v>
      </c>
      <c r="E9" s="93"/>
      <c r="F9" s="93"/>
      <c r="G9" s="93"/>
      <c r="H9" s="93"/>
      <c r="I9" s="94"/>
    </row>
    <row r="10" spans="2:15">
      <c r="D10" s="95"/>
      <c r="E10" s="96"/>
      <c r="F10" s="96"/>
      <c r="G10" s="96"/>
      <c r="H10" s="96"/>
      <c r="I10" s="97"/>
    </row>
    <row r="11" spans="2:15">
      <c r="D11" s="89" t="s">
        <v>2589</v>
      </c>
      <c r="E11" s="89" t="s">
        <v>3569</v>
      </c>
      <c r="F11" s="89" t="s">
        <v>3189</v>
      </c>
      <c r="G11" s="89" t="s">
        <v>1277</v>
      </c>
      <c r="H11" s="89" t="s">
        <v>1278</v>
      </c>
      <c r="I11" s="89" t="s">
        <v>3570</v>
      </c>
    </row>
    <row r="12" spans="2:15">
      <c r="D12" s="91"/>
      <c r="E12" s="91"/>
      <c r="F12" s="91"/>
      <c r="G12" s="91"/>
      <c r="H12" s="91"/>
      <c r="I12" s="91"/>
    </row>
    <row r="13" spans="2:15">
      <c r="D13" s="45" t="s">
        <v>2879</v>
      </c>
      <c r="E13" s="45" t="s">
        <v>3219</v>
      </c>
      <c r="F13" s="45" t="s">
        <v>3225</v>
      </c>
      <c r="G13" s="45" t="s">
        <v>3223</v>
      </c>
      <c r="H13" s="45" t="s">
        <v>3229</v>
      </c>
      <c r="I13" s="45" t="s">
        <v>3231</v>
      </c>
      <c r="N13" s="13" t="str">
        <f>Show!$B$50&amp;"S.06.01.01.01 Rows {"&amp;COLUMN($C$1)&amp;"}"&amp;"@ForceFilingCode:true"</f>
        <v>!S.06.01.01.01 Rows {3}@ForceFilingCode:true</v>
      </c>
      <c r="O13" s="13" t="str">
        <f>Show!$B$50&amp;"S.06.01.01.01 Columns {"&amp;COLUMN($D$1)&amp;"}"</f>
        <v>!S.06.01.01.01 Columns {4}</v>
      </c>
    </row>
    <row r="14" spans="2:15">
      <c r="B14" s="43" t="s">
        <v>2880</v>
      </c>
      <c r="C14" s="44" t="s">
        <v>2878</v>
      </c>
      <c r="D14" s="58"/>
      <c r="E14" s="67"/>
      <c r="F14" s="67"/>
      <c r="G14" s="67"/>
      <c r="H14" s="67"/>
      <c r="I14" s="59"/>
    </row>
    <row r="15" spans="2:15">
      <c r="B15" s="47" t="s">
        <v>3571</v>
      </c>
      <c r="C15" s="44" t="s">
        <v>2878</v>
      </c>
      <c r="D15" s="56"/>
      <c r="E15" s="66"/>
      <c r="F15" s="66"/>
      <c r="G15" s="66"/>
      <c r="H15" s="66"/>
      <c r="I15" s="57"/>
    </row>
    <row r="16" spans="2:15">
      <c r="B16" s="49" t="s">
        <v>3572</v>
      </c>
      <c r="C16" s="41" t="s">
        <v>2883</v>
      </c>
      <c r="D16" s="60"/>
      <c r="E16" s="60"/>
      <c r="F16" s="60"/>
      <c r="G16" s="60"/>
      <c r="H16" s="60"/>
      <c r="I16" s="60"/>
    </row>
    <row r="17" spans="2:9">
      <c r="B17" s="49" t="s">
        <v>3573</v>
      </c>
      <c r="C17" s="41" t="s">
        <v>2885</v>
      </c>
      <c r="D17" s="60"/>
      <c r="E17" s="60"/>
      <c r="F17" s="60"/>
      <c r="G17" s="60"/>
      <c r="H17" s="60"/>
      <c r="I17" s="60"/>
    </row>
    <row r="18" spans="2:9">
      <c r="B18" s="49" t="s">
        <v>3574</v>
      </c>
      <c r="C18" s="41" t="s">
        <v>2887</v>
      </c>
      <c r="D18" s="63"/>
      <c r="E18" s="63"/>
      <c r="F18" s="63"/>
      <c r="G18" s="63"/>
      <c r="H18" s="63"/>
      <c r="I18" s="63"/>
    </row>
    <row r="19" spans="2:9">
      <c r="B19" s="47" t="s">
        <v>3575</v>
      </c>
      <c r="C19" s="44" t="s">
        <v>2878</v>
      </c>
      <c r="D19" s="56"/>
      <c r="E19" s="66"/>
      <c r="F19" s="66"/>
      <c r="G19" s="66"/>
      <c r="H19" s="66"/>
      <c r="I19" s="57"/>
    </row>
    <row r="20" spans="2:9">
      <c r="B20" s="49" t="s">
        <v>3576</v>
      </c>
      <c r="C20" s="41" t="s">
        <v>2889</v>
      </c>
      <c r="D20" s="60"/>
      <c r="E20" s="60"/>
      <c r="F20" s="60"/>
      <c r="G20" s="60"/>
      <c r="H20" s="60"/>
      <c r="I20" s="60"/>
    </row>
    <row r="21" spans="2:9">
      <c r="B21" s="49" t="s">
        <v>3577</v>
      </c>
      <c r="C21" s="41" t="s">
        <v>3078</v>
      </c>
      <c r="D21" s="60"/>
      <c r="E21" s="60"/>
      <c r="F21" s="60"/>
      <c r="G21" s="60"/>
      <c r="H21" s="60"/>
      <c r="I21" s="60"/>
    </row>
    <row r="22" spans="2:9">
      <c r="B22" s="49" t="s">
        <v>3578</v>
      </c>
      <c r="C22" s="41" t="s">
        <v>2891</v>
      </c>
      <c r="D22" s="60"/>
      <c r="E22" s="60"/>
      <c r="F22" s="60"/>
      <c r="G22" s="60"/>
      <c r="H22" s="60"/>
      <c r="I22" s="60"/>
    </row>
    <row r="23" spans="2:9">
      <c r="B23" s="49" t="s">
        <v>3579</v>
      </c>
      <c r="C23" s="41" t="s">
        <v>2893</v>
      </c>
      <c r="D23" s="60"/>
      <c r="E23" s="60"/>
      <c r="F23" s="60"/>
      <c r="G23" s="60"/>
      <c r="H23" s="60"/>
      <c r="I23" s="60"/>
    </row>
    <row r="24" spans="2:9">
      <c r="B24" s="49" t="s">
        <v>2377</v>
      </c>
      <c r="C24" s="41" t="s">
        <v>2895</v>
      </c>
      <c r="D24" s="60"/>
      <c r="E24" s="60"/>
      <c r="F24" s="60"/>
      <c r="G24" s="60"/>
      <c r="H24" s="60"/>
      <c r="I24" s="60"/>
    </row>
    <row r="25" spans="2:9">
      <c r="B25" s="49" t="s">
        <v>2378</v>
      </c>
      <c r="C25" s="41" t="s">
        <v>2897</v>
      </c>
      <c r="D25" s="60"/>
      <c r="E25" s="60"/>
      <c r="F25" s="60"/>
      <c r="G25" s="60"/>
      <c r="H25" s="60"/>
      <c r="I25" s="60"/>
    </row>
    <row r="26" spans="2:9">
      <c r="B26" s="49" t="s">
        <v>2379</v>
      </c>
      <c r="C26" s="41" t="s">
        <v>2899</v>
      </c>
      <c r="D26" s="60"/>
      <c r="E26" s="60"/>
      <c r="F26" s="60"/>
      <c r="G26" s="60"/>
      <c r="H26" s="60"/>
      <c r="I26" s="60"/>
    </row>
    <row r="27" spans="2:9">
      <c r="B27" s="49" t="s">
        <v>2380</v>
      </c>
      <c r="C27" s="41" t="s">
        <v>2901</v>
      </c>
      <c r="D27" s="60"/>
      <c r="E27" s="60"/>
      <c r="F27" s="60"/>
      <c r="G27" s="60"/>
      <c r="H27" s="60"/>
      <c r="I27" s="60"/>
    </row>
    <row r="28" spans="2:9">
      <c r="B28" s="49" t="s">
        <v>3478</v>
      </c>
      <c r="C28" s="41" t="s">
        <v>2903</v>
      </c>
      <c r="D28" s="60"/>
      <c r="E28" s="60"/>
      <c r="F28" s="60"/>
      <c r="G28" s="60"/>
      <c r="H28" s="60"/>
      <c r="I28" s="60"/>
    </row>
    <row r="29" spans="2:9">
      <c r="B29" s="49" t="s">
        <v>2382</v>
      </c>
      <c r="C29" s="41" t="s">
        <v>2905</v>
      </c>
      <c r="D29" s="60"/>
      <c r="E29" s="60"/>
      <c r="F29" s="60"/>
      <c r="G29" s="60"/>
      <c r="H29" s="60"/>
      <c r="I29" s="60"/>
    </row>
    <row r="30" spans="2:9">
      <c r="B30" s="49" t="s">
        <v>2383</v>
      </c>
      <c r="C30" s="41" t="s">
        <v>2907</v>
      </c>
      <c r="D30" s="60"/>
      <c r="E30" s="60"/>
      <c r="F30" s="60"/>
      <c r="G30" s="60"/>
      <c r="H30" s="60"/>
      <c r="I30" s="60"/>
    </row>
    <row r="31" spans="2:9">
      <c r="B31" s="49" t="s">
        <v>2384</v>
      </c>
      <c r="C31" s="41" t="s">
        <v>2909</v>
      </c>
      <c r="D31" s="60"/>
      <c r="E31" s="60"/>
      <c r="F31" s="60"/>
      <c r="G31" s="60"/>
      <c r="H31" s="60"/>
      <c r="I31" s="60"/>
    </row>
    <row r="32" spans="2:9">
      <c r="B32" s="49" t="s">
        <v>2385</v>
      </c>
      <c r="C32" s="41" t="s">
        <v>2911</v>
      </c>
      <c r="D32" s="60"/>
      <c r="E32" s="60"/>
      <c r="F32" s="60"/>
      <c r="G32" s="60"/>
      <c r="H32" s="60"/>
      <c r="I32" s="60"/>
    </row>
    <row r="33" spans="2:15">
      <c r="B33" s="49" t="s">
        <v>2386</v>
      </c>
      <c r="C33" s="41" t="s">
        <v>2913</v>
      </c>
      <c r="D33" s="60"/>
      <c r="E33" s="60"/>
      <c r="F33" s="60"/>
      <c r="G33" s="60"/>
      <c r="H33" s="60"/>
      <c r="I33" s="60"/>
    </row>
    <row r="34" spans="2:15">
      <c r="B34" s="49" t="s">
        <v>2387</v>
      </c>
      <c r="C34" s="41" t="s">
        <v>2915</v>
      </c>
      <c r="D34" s="60"/>
      <c r="E34" s="60"/>
      <c r="F34" s="60"/>
      <c r="G34" s="60"/>
      <c r="H34" s="60"/>
      <c r="I34" s="60"/>
    </row>
    <row r="35" spans="2:15">
      <c r="B35" s="49" t="s">
        <v>2388</v>
      </c>
      <c r="C35" s="41" t="s">
        <v>2917</v>
      </c>
      <c r="D35" s="60"/>
      <c r="E35" s="60"/>
      <c r="F35" s="60"/>
      <c r="G35" s="60"/>
      <c r="H35" s="60"/>
      <c r="I35" s="60"/>
    </row>
    <row r="37" spans="2:15">
      <c r="N37" s="13" t="str">
        <f>Show!$B$50&amp;Show!$B$50&amp;"S.06.01.01.01 Rows {"&amp;COLUMN($C$1)&amp;"}"</f>
        <v>!!S.06.01.01.01 Rows {3}</v>
      </c>
      <c r="O37" s="13" t="str">
        <f>Show!$B$50&amp;Show!$B$50&amp;"S.06.01.01.01 Columns {"&amp;COLUMN($I$1)&amp;"}"</f>
        <v>!!S.06.01.01.01 Columns {9}</v>
      </c>
    </row>
  </sheetData>
  <sheetProtection sheet="1" objects="1" scenarios="1"/>
  <mergeCells count="9">
    <mergeCell ref="B2:O2"/>
    <mergeCell ref="B5:L5"/>
    <mergeCell ref="D9:I10"/>
    <mergeCell ref="D11:D12"/>
    <mergeCell ref="E11:E12"/>
    <mergeCell ref="F11:F12"/>
    <mergeCell ref="G11:G12"/>
    <mergeCell ref="H11:H12"/>
    <mergeCell ref="I11:I1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2827F-CB08-4C8C-B233-A4F45B51924E}">
  <sheetPr codeName="Blad55"/>
  <dimension ref="B2:AE27"/>
  <sheetViews>
    <sheetView showGridLines="0" workbookViewId="0"/>
  </sheetViews>
  <sheetFormatPr defaultRowHeight="15"/>
  <cols>
    <col min="2" max="2" width="29.140625" bestFit="1" customWidth="1"/>
    <col min="3" max="18" width="40.7109375" customWidth="1"/>
    <col min="19" max="22" width="15.7109375" customWidth="1"/>
  </cols>
  <sheetData>
    <row r="2" spans="2:31" ht="23.25">
      <c r="B2" s="86" t="s">
        <v>586</v>
      </c>
      <c r="C2" s="87"/>
      <c r="D2" s="87"/>
      <c r="E2" s="87"/>
      <c r="F2" s="87"/>
      <c r="G2" s="87"/>
      <c r="H2" s="87"/>
      <c r="I2" s="87"/>
      <c r="J2" s="87"/>
      <c r="K2" s="87"/>
      <c r="L2" s="87"/>
      <c r="M2" s="87"/>
      <c r="N2" s="87"/>
      <c r="O2" s="87"/>
    </row>
    <row r="5" spans="2:31" ht="18.75">
      <c r="B5" s="88" t="s">
        <v>3580</v>
      </c>
      <c r="C5" s="87"/>
      <c r="D5" s="87"/>
      <c r="E5" s="87"/>
      <c r="F5" s="87"/>
      <c r="G5" s="87"/>
      <c r="H5" s="87"/>
      <c r="I5" s="87"/>
      <c r="J5" s="87"/>
      <c r="K5" s="87"/>
      <c r="L5" s="87"/>
    </row>
    <row r="9" spans="2:31">
      <c r="B9" s="89" t="s">
        <v>3374</v>
      </c>
      <c r="C9" s="89" t="s">
        <v>3582</v>
      </c>
      <c r="D9" s="89" t="s">
        <v>3322</v>
      </c>
      <c r="E9" s="89" t="s">
        <v>3583</v>
      </c>
      <c r="F9" s="92" t="s">
        <v>2877</v>
      </c>
      <c r="G9" s="93"/>
      <c r="H9" s="93"/>
      <c r="I9" s="93"/>
      <c r="J9" s="93"/>
      <c r="K9" s="93"/>
      <c r="L9" s="93"/>
      <c r="M9" s="93"/>
      <c r="N9" s="93"/>
      <c r="O9" s="93"/>
      <c r="P9" s="94"/>
    </row>
    <row r="10" spans="2:31">
      <c r="B10" s="90"/>
      <c r="C10" s="90"/>
      <c r="D10" s="90"/>
      <c r="E10" s="90"/>
      <c r="F10" s="95"/>
      <c r="G10" s="96"/>
      <c r="H10" s="96"/>
      <c r="I10" s="96"/>
      <c r="J10" s="96"/>
      <c r="K10" s="96"/>
      <c r="L10" s="96"/>
      <c r="M10" s="96"/>
      <c r="N10" s="96"/>
      <c r="O10" s="96"/>
      <c r="P10" s="97"/>
    </row>
    <row r="11" spans="2:31" ht="30">
      <c r="B11" s="91"/>
      <c r="C11" s="91"/>
      <c r="D11" s="91"/>
      <c r="E11" s="91"/>
      <c r="F11" s="55" t="s">
        <v>3584</v>
      </c>
      <c r="G11" s="55" t="s">
        <v>3585</v>
      </c>
      <c r="H11" s="55" t="s">
        <v>3586</v>
      </c>
      <c r="I11" s="55" t="s">
        <v>3587</v>
      </c>
      <c r="J11" s="55" t="s">
        <v>3588</v>
      </c>
      <c r="K11" s="55" t="s">
        <v>3589</v>
      </c>
      <c r="L11" s="55" t="s">
        <v>3590</v>
      </c>
      <c r="M11" s="55" t="s">
        <v>3591</v>
      </c>
      <c r="N11" s="55" t="s">
        <v>3592</v>
      </c>
      <c r="O11" s="55" t="s">
        <v>3593</v>
      </c>
      <c r="P11" s="55" t="s">
        <v>3595</v>
      </c>
    </row>
    <row r="12" spans="2:31">
      <c r="B12" s="42" t="s">
        <v>3581</v>
      </c>
      <c r="C12" s="42" t="s">
        <v>3223</v>
      </c>
      <c r="D12" s="42" t="s">
        <v>3233</v>
      </c>
      <c r="E12" s="42" t="s">
        <v>3234</v>
      </c>
      <c r="F12" s="42" t="s">
        <v>3231</v>
      </c>
      <c r="G12" s="42" t="s">
        <v>3236</v>
      </c>
      <c r="H12" s="42" t="s">
        <v>3239</v>
      </c>
      <c r="I12" s="42" t="s">
        <v>3241</v>
      </c>
      <c r="J12" s="42" t="s">
        <v>3243</v>
      </c>
      <c r="K12" s="42" t="s">
        <v>3375</v>
      </c>
      <c r="L12" s="42" t="s">
        <v>3475</v>
      </c>
      <c r="M12" s="42" t="s">
        <v>3477</v>
      </c>
      <c r="N12" s="42" t="s">
        <v>3479</v>
      </c>
      <c r="O12" s="42" t="s">
        <v>3594</v>
      </c>
      <c r="P12" s="42" t="s">
        <v>3596</v>
      </c>
      <c r="AD12" s="13" t="str">
        <f>Show!$B$51&amp;"S.06.02.01.01 Rows {"&amp;COLUMN($B$1)&amp;"}"&amp;"@ForceFilingCode:true"</f>
        <v>!S.06.02.01.01 Rows {2}@ForceFilingCode:true</v>
      </c>
      <c r="AE12" s="13" t="str">
        <f>Show!$B$51&amp;"S.06.02.01.01 Columns {"&amp;COLUMN($B$1)&amp;"}"</f>
        <v>!S.06.02.01.01 Columns {2}</v>
      </c>
    </row>
    <row r="13" spans="2:31">
      <c r="B13" s="50"/>
      <c r="C13" s="50"/>
      <c r="D13" s="50"/>
      <c r="E13" s="50"/>
      <c r="F13" s="51"/>
      <c r="G13" s="51"/>
      <c r="H13" s="51"/>
      <c r="I13" s="51"/>
      <c r="J13" s="51"/>
      <c r="K13" s="69"/>
      <c r="L13" s="60"/>
      <c r="M13" s="51"/>
      <c r="N13" s="60"/>
      <c r="O13" s="60"/>
      <c r="P13" s="60"/>
    </row>
    <row r="15" spans="2:31">
      <c r="AD15" s="13" t="str">
        <f>Show!$B$51&amp;Show!$B$51&amp;"S.06.02.01.01 Rows {"&amp;COLUMN($B$1)&amp;"}"</f>
        <v>!!S.06.02.01.01 Rows {2}</v>
      </c>
      <c r="AE15" s="13" t="str">
        <f>Show!$B$51&amp;Show!$B$51&amp;"S.06.02.01.01 Columns {"&amp;COLUMN($P$1)&amp;"}"</f>
        <v>!!S.06.02.01.01 Columns {16}</v>
      </c>
    </row>
    <row r="17" spans="2:31" ht="18.75">
      <c r="B17" s="88" t="s">
        <v>3597</v>
      </c>
      <c r="C17" s="87"/>
      <c r="D17" s="87"/>
      <c r="E17" s="87"/>
      <c r="F17" s="87"/>
      <c r="G17" s="87"/>
      <c r="H17" s="87"/>
      <c r="I17" s="87"/>
      <c r="J17" s="87"/>
      <c r="K17" s="87"/>
      <c r="L17" s="87"/>
    </row>
    <row r="21" spans="2:31">
      <c r="B21" s="89" t="s">
        <v>3582</v>
      </c>
      <c r="C21" s="92" t="s">
        <v>2877</v>
      </c>
      <c r="D21" s="93"/>
      <c r="E21" s="93"/>
      <c r="F21" s="93"/>
      <c r="G21" s="93"/>
      <c r="H21" s="93"/>
      <c r="I21" s="93"/>
      <c r="J21" s="93"/>
      <c r="K21" s="93"/>
      <c r="L21" s="93"/>
      <c r="M21" s="93"/>
      <c r="N21" s="93"/>
      <c r="O21" s="93"/>
      <c r="P21" s="93"/>
      <c r="Q21" s="93"/>
      <c r="R21" s="93"/>
      <c r="S21" s="93"/>
      <c r="T21" s="93"/>
      <c r="U21" s="93"/>
      <c r="V21" s="94"/>
    </row>
    <row r="22" spans="2:31">
      <c r="B22" s="90"/>
      <c r="C22" s="95"/>
      <c r="D22" s="96"/>
      <c r="E22" s="96"/>
      <c r="F22" s="96"/>
      <c r="G22" s="96"/>
      <c r="H22" s="96"/>
      <c r="I22" s="96"/>
      <c r="J22" s="96"/>
      <c r="K22" s="96"/>
      <c r="L22" s="96"/>
      <c r="M22" s="96"/>
      <c r="N22" s="96"/>
      <c r="O22" s="96"/>
      <c r="P22" s="96"/>
      <c r="Q22" s="96"/>
      <c r="R22" s="96"/>
      <c r="S22" s="96"/>
      <c r="T22" s="96"/>
      <c r="U22" s="96"/>
      <c r="V22" s="97"/>
    </row>
    <row r="23" spans="2:31" ht="45">
      <c r="B23" s="91"/>
      <c r="C23" s="55" t="s">
        <v>3598</v>
      </c>
      <c r="D23" s="55" t="s">
        <v>3600</v>
      </c>
      <c r="E23" s="55" t="s">
        <v>3601</v>
      </c>
      <c r="F23" s="55" t="s">
        <v>3602</v>
      </c>
      <c r="G23" s="55" t="s">
        <v>3603</v>
      </c>
      <c r="H23" s="55" t="s">
        <v>3604</v>
      </c>
      <c r="I23" s="55" t="s">
        <v>3605</v>
      </c>
      <c r="J23" s="55" t="s">
        <v>3606</v>
      </c>
      <c r="K23" s="55" t="s">
        <v>3607</v>
      </c>
      <c r="L23" s="55" t="s">
        <v>3609</v>
      </c>
      <c r="M23" s="55" t="s">
        <v>3611</v>
      </c>
      <c r="N23" s="55" t="s">
        <v>3261</v>
      </c>
      <c r="O23" s="55" t="s">
        <v>3613</v>
      </c>
      <c r="P23" s="55" t="s">
        <v>3615</v>
      </c>
      <c r="Q23" s="55" t="s">
        <v>3617</v>
      </c>
      <c r="R23" s="55" t="s">
        <v>3619</v>
      </c>
      <c r="S23" s="55" t="s">
        <v>3621</v>
      </c>
      <c r="T23" s="55" t="s">
        <v>3623</v>
      </c>
      <c r="U23" s="55" t="s">
        <v>3625</v>
      </c>
      <c r="V23" s="55" t="s">
        <v>3627</v>
      </c>
    </row>
    <row r="24" spans="2:31">
      <c r="B24" s="42" t="s">
        <v>3223</v>
      </c>
      <c r="C24" s="42" t="s">
        <v>3599</v>
      </c>
      <c r="D24" s="42" t="s">
        <v>3481</v>
      </c>
      <c r="E24" s="42" t="s">
        <v>3508</v>
      </c>
      <c r="F24" s="42" t="s">
        <v>3511</v>
      </c>
      <c r="G24" s="42" t="s">
        <v>3513</v>
      </c>
      <c r="H24" s="42" t="s">
        <v>3514</v>
      </c>
      <c r="I24" s="42" t="s">
        <v>3517</v>
      </c>
      <c r="J24" s="42" t="s">
        <v>3518</v>
      </c>
      <c r="K24" s="42" t="s">
        <v>3608</v>
      </c>
      <c r="L24" s="42" t="s">
        <v>3610</v>
      </c>
      <c r="M24" s="42" t="s">
        <v>3519</v>
      </c>
      <c r="N24" s="42" t="s">
        <v>3612</v>
      </c>
      <c r="O24" s="42" t="s">
        <v>3614</v>
      </c>
      <c r="P24" s="42" t="s">
        <v>3616</v>
      </c>
      <c r="Q24" s="42" t="s">
        <v>3618</v>
      </c>
      <c r="R24" s="42" t="s">
        <v>3620</v>
      </c>
      <c r="S24" s="42" t="s">
        <v>3622</v>
      </c>
      <c r="T24" s="42" t="s">
        <v>3624</v>
      </c>
      <c r="U24" s="42" t="s">
        <v>3626</v>
      </c>
      <c r="V24" s="42" t="s">
        <v>3628</v>
      </c>
      <c r="AD24" s="13" t="str">
        <f>Show!$B$51&amp;"S.06.02.01.02 Rows {"&amp;COLUMN($B$1)&amp;"}"&amp;"@ForceFilingCode:true"</f>
        <v>!S.06.02.01.02 Rows {2}@ForceFilingCode:true</v>
      </c>
      <c r="AE24" s="13" t="str">
        <f>Show!$B$51&amp;"S.06.02.01.02 Columns {"&amp;COLUMN($B$1)&amp;"}"</f>
        <v>!S.06.02.01.02 Columns {2}</v>
      </c>
    </row>
    <row r="25" spans="2:31">
      <c r="B25" s="50"/>
      <c r="C25" s="51"/>
      <c r="D25" s="51"/>
      <c r="E25" s="51"/>
      <c r="F25" s="51"/>
      <c r="G25" s="51"/>
      <c r="H25" s="51"/>
      <c r="I25" s="51"/>
      <c r="J25" s="51"/>
      <c r="K25" s="51"/>
      <c r="L25" s="51"/>
      <c r="M25" s="51"/>
      <c r="N25" s="51"/>
      <c r="O25" s="51"/>
      <c r="P25" s="51"/>
      <c r="Q25" s="51"/>
      <c r="R25" s="51"/>
      <c r="S25" s="69"/>
      <c r="T25" s="60"/>
      <c r="U25" s="70"/>
      <c r="V25" s="54"/>
    </row>
    <row r="27" spans="2:31">
      <c r="AD27" s="13" t="str">
        <f>Show!$B$51&amp;Show!$B$51&amp;"S.06.02.01.02 Rows {"&amp;COLUMN($B$1)&amp;"}"</f>
        <v>!!S.06.02.01.02 Rows {2}</v>
      </c>
      <c r="AE27" s="13" t="str">
        <f>Show!$B$51&amp;Show!$B$51&amp;"S.06.02.01.02 Columns {"&amp;COLUMN($V$1)&amp;"}"</f>
        <v>!!S.06.02.01.02 Columns {22}</v>
      </c>
    </row>
  </sheetData>
  <sheetProtection sheet="1" objects="1" scenarios="1"/>
  <mergeCells count="10">
    <mergeCell ref="B17:L17"/>
    <mergeCell ref="B21:B23"/>
    <mergeCell ref="C21:V22"/>
    <mergeCell ref="B2:O2"/>
    <mergeCell ref="B5:L5"/>
    <mergeCell ref="B9:B11"/>
    <mergeCell ref="C9:C11"/>
    <mergeCell ref="D9:D11"/>
    <mergeCell ref="E9:E11"/>
    <mergeCell ref="F9:P10"/>
  </mergeCells>
  <dataValidations count="14">
    <dataValidation type="list" errorStyle="warning" allowBlank="1" showInputMessage="1" showErrorMessage="1" sqref="F13" xr:uid="{35330806-B94B-4014-A197-2BDD2665DB9C}">
      <formula1>hier_PU_33</formula1>
    </dataValidation>
    <dataValidation type="list" errorStyle="warning" allowBlank="1" showInputMessage="1" showErrorMessage="1" sqref="G13" xr:uid="{1C39D17D-A41A-479B-82F0-6357D3157EBD}">
      <formula1>hier_LB_4</formula1>
    </dataValidation>
    <dataValidation type="list" errorStyle="warning" allowBlank="1" showInputMessage="1" showErrorMessage="1" sqref="H13" xr:uid="{6E62EE20-F56E-4547-8D41-BF08ACC39E94}">
      <formula1>hier_CG_2</formula1>
    </dataValidation>
    <dataValidation type="list" errorStyle="warning" allowBlank="1" showInputMessage="1" showErrorMessage="1" sqref="I13" xr:uid="{25F29845-8DB1-4671-911A-DE0755E7E09D}">
      <formula1>hier_GA_1</formula1>
    </dataValidation>
    <dataValidation type="list" errorStyle="warning" allowBlank="1" showInputMessage="1" showErrorMessage="1" sqref="M13" xr:uid="{4CFF1C83-DC5F-4B53-9B56-E8ADF70EFB89}">
      <formula1>hier_VM_23</formula1>
    </dataValidation>
    <dataValidation type="list" errorStyle="warning" allowBlank="1" showInputMessage="1" showErrorMessage="1" sqref="F25" xr:uid="{C05D0AE1-0296-4F3F-AB39-DBB3877EE956}">
      <formula1>hier_NC_1</formula1>
    </dataValidation>
    <dataValidation type="list" errorStyle="warning" allowBlank="1" showInputMessage="1" showErrorMessage="1" sqref="I25" xr:uid="{BA7FDEC1-A546-4C3A-9D46-58BC2E38476A}">
      <formula1>hier_GA_4</formula1>
    </dataValidation>
    <dataValidation type="list" errorStyle="warning" allowBlank="1" showInputMessage="1" showErrorMessage="1" sqref="J25" xr:uid="{BB00CB35-B7DB-450A-ACEA-6D9A765E0631}">
      <formula1>hier_CU_1</formula1>
    </dataValidation>
    <dataValidation type="list" errorStyle="warning" allowBlank="1" showInputMessage="1" showErrorMessage="1" sqref="L25" xr:uid="{D2962D2E-9DE4-4183-B17A-01969A0339AC}">
      <formula1>hier_AP_23</formula1>
    </dataValidation>
    <dataValidation type="list" errorStyle="warning" allowBlank="1" showInputMessage="1" showErrorMessage="1" sqref="M25" xr:uid="{7148677A-1EF9-45CF-8ED9-C2FF301269C2}">
      <formula1>hier_MC_50</formula1>
    </dataValidation>
    <dataValidation type="list" errorStyle="warning" allowBlank="1" showInputMessage="1" showErrorMessage="1" sqref="N25" xr:uid="{A12480AE-2DE9-4371-8DDD-5E033D73B161}">
      <formula1>hier_PU_39</formula1>
    </dataValidation>
    <dataValidation type="list" errorStyle="warning" allowBlank="1" showInputMessage="1" showErrorMessage="1" sqref="P25" xr:uid="{59BCEFF6-7B6B-44F5-AD11-431755E58DE4}">
      <formula1>hier_SE_26</formula1>
    </dataValidation>
    <dataValidation type="list" errorStyle="warning" allowBlank="1" showInputMessage="1" showErrorMessage="1" sqref="Q25" xr:uid="{1D870C81-83C4-4BE5-A83E-D20203143DED}">
      <formula1>hier_BR_4</formula1>
    </dataValidation>
    <dataValidation type="date" operator="greaterThan" allowBlank="1" showInputMessage="1" showErrorMessage="1" errorTitle="Date value" error="This cell can only contain dates" sqref="V25" xr:uid="{EB8B449C-5112-42B9-9053-92DA5B4E39FF}">
      <formula1>1</formula1>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4A3F1-3A08-460F-B359-84F3E9CB8EC4}">
  <sheetPr codeName="Blad56"/>
  <dimension ref="B2:AE27"/>
  <sheetViews>
    <sheetView showGridLines="0" workbookViewId="0"/>
  </sheetViews>
  <sheetFormatPr defaultRowHeight="15"/>
  <cols>
    <col min="2" max="2" width="29.140625" bestFit="1" customWidth="1"/>
    <col min="3" max="17" width="40.7109375" customWidth="1"/>
    <col min="18" max="21" width="15.7109375" customWidth="1"/>
  </cols>
  <sheetData>
    <row r="2" spans="2:31" ht="23.25">
      <c r="B2" s="86" t="s">
        <v>586</v>
      </c>
      <c r="C2" s="87"/>
      <c r="D2" s="87"/>
      <c r="E2" s="87"/>
      <c r="F2" s="87"/>
      <c r="G2" s="87"/>
      <c r="H2" s="87"/>
      <c r="I2" s="87"/>
      <c r="J2" s="87"/>
      <c r="K2" s="87"/>
      <c r="L2" s="87"/>
      <c r="M2" s="87"/>
      <c r="N2" s="87"/>
      <c r="O2" s="87"/>
    </row>
    <row r="5" spans="2:31" ht="18.75">
      <c r="B5" s="88" t="s">
        <v>3629</v>
      </c>
      <c r="C5" s="87"/>
      <c r="D5" s="87"/>
      <c r="E5" s="87"/>
      <c r="F5" s="87"/>
      <c r="G5" s="87"/>
      <c r="H5" s="87"/>
      <c r="I5" s="87"/>
      <c r="J5" s="87"/>
      <c r="K5" s="87"/>
      <c r="L5" s="87"/>
    </row>
    <row r="9" spans="2:31">
      <c r="B9" s="89" t="s">
        <v>3374</v>
      </c>
      <c r="C9" s="89" t="s">
        <v>3245</v>
      </c>
      <c r="D9" s="89" t="s">
        <v>3582</v>
      </c>
      <c r="E9" s="89" t="s">
        <v>3322</v>
      </c>
      <c r="F9" s="89" t="s">
        <v>3583</v>
      </c>
      <c r="G9" s="92" t="s">
        <v>2877</v>
      </c>
      <c r="H9" s="93"/>
      <c r="I9" s="93"/>
      <c r="J9" s="93"/>
      <c r="K9" s="93"/>
      <c r="L9" s="93"/>
      <c r="M9" s="93"/>
      <c r="N9" s="93"/>
      <c r="O9" s="93"/>
      <c r="P9" s="93"/>
      <c r="Q9" s="93"/>
      <c r="R9" s="94"/>
    </row>
    <row r="10" spans="2:31">
      <c r="B10" s="90"/>
      <c r="C10" s="90"/>
      <c r="D10" s="90"/>
      <c r="E10" s="90"/>
      <c r="F10" s="90"/>
      <c r="G10" s="95"/>
      <c r="H10" s="96"/>
      <c r="I10" s="96"/>
      <c r="J10" s="96"/>
      <c r="K10" s="96"/>
      <c r="L10" s="96"/>
      <c r="M10" s="96"/>
      <c r="N10" s="96"/>
      <c r="O10" s="96"/>
      <c r="P10" s="96"/>
      <c r="Q10" s="96"/>
      <c r="R10" s="97"/>
    </row>
    <row r="11" spans="2:31" ht="30">
      <c r="B11" s="91"/>
      <c r="C11" s="91"/>
      <c r="D11" s="91"/>
      <c r="E11" s="91"/>
      <c r="F11" s="91"/>
      <c r="G11" s="55" t="s">
        <v>3246</v>
      </c>
      <c r="H11" s="55" t="s">
        <v>3584</v>
      </c>
      <c r="I11" s="55" t="s">
        <v>3585</v>
      </c>
      <c r="J11" s="55" t="s">
        <v>3586</v>
      </c>
      <c r="K11" s="55" t="s">
        <v>3587</v>
      </c>
      <c r="L11" s="55" t="s">
        <v>3588</v>
      </c>
      <c r="M11" s="55" t="s">
        <v>3589</v>
      </c>
      <c r="N11" s="55" t="s">
        <v>3590</v>
      </c>
      <c r="O11" s="55" t="s">
        <v>3591</v>
      </c>
      <c r="P11" s="55" t="s">
        <v>3592</v>
      </c>
      <c r="Q11" s="55" t="s">
        <v>3593</v>
      </c>
      <c r="R11" s="55" t="s">
        <v>3595</v>
      </c>
    </row>
    <row r="12" spans="2:31">
      <c r="B12" s="42" t="s">
        <v>3581</v>
      </c>
      <c r="C12" s="42" t="s">
        <v>3219</v>
      </c>
      <c r="D12" s="42" t="s">
        <v>3223</v>
      </c>
      <c r="E12" s="42" t="s">
        <v>3233</v>
      </c>
      <c r="F12" s="42" t="s">
        <v>3234</v>
      </c>
      <c r="G12" s="42" t="s">
        <v>2879</v>
      </c>
      <c r="H12" s="42" t="s">
        <v>3231</v>
      </c>
      <c r="I12" s="42" t="s">
        <v>3236</v>
      </c>
      <c r="J12" s="42" t="s">
        <v>3239</v>
      </c>
      <c r="K12" s="42" t="s">
        <v>3241</v>
      </c>
      <c r="L12" s="42" t="s">
        <v>3243</v>
      </c>
      <c r="M12" s="42" t="s">
        <v>3375</v>
      </c>
      <c r="N12" s="42" t="s">
        <v>3475</v>
      </c>
      <c r="O12" s="42" t="s">
        <v>3477</v>
      </c>
      <c r="P12" s="42" t="s">
        <v>3479</v>
      </c>
      <c r="Q12" s="42" t="s">
        <v>3594</v>
      </c>
      <c r="R12" s="42" t="s">
        <v>3596</v>
      </c>
      <c r="AD12" s="13" t="str">
        <f>Show!$B$52&amp;"S.06.02.04.01 Rows {"&amp;COLUMN($B$1)&amp;"}"&amp;"@ForceFilingCode:true"</f>
        <v>!S.06.02.04.01 Rows {2}@ForceFilingCode:true</v>
      </c>
      <c r="AE12" s="13" t="str">
        <f>Show!$B$52&amp;"S.06.02.04.01 Columns {"&amp;COLUMN($B$1)&amp;"}"</f>
        <v>!S.06.02.04.01 Columns {2}</v>
      </c>
    </row>
    <row r="13" spans="2:31">
      <c r="B13" s="50"/>
      <c r="C13" s="50"/>
      <c r="D13" s="50"/>
      <c r="E13" s="50"/>
      <c r="F13" s="50"/>
      <c r="G13" s="51"/>
      <c r="H13" s="51"/>
      <c r="I13" s="51"/>
      <c r="J13" s="51"/>
      <c r="K13" s="51"/>
      <c r="L13" s="51"/>
      <c r="M13" s="69"/>
      <c r="N13" s="60"/>
      <c r="O13" s="51"/>
      <c r="P13" s="60"/>
      <c r="Q13" s="60"/>
      <c r="R13" s="60"/>
    </row>
    <row r="15" spans="2:31">
      <c r="AD15" s="13" t="str">
        <f>Show!$B$52&amp;Show!$B$52&amp;"S.06.02.04.01 Rows {"&amp;COLUMN($B$1)&amp;"}"</f>
        <v>!!S.06.02.04.01 Rows {2}</v>
      </c>
      <c r="AE15" s="13" t="str">
        <f>Show!$B$52&amp;Show!$B$52&amp;"S.06.02.04.01 Columns {"&amp;COLUMN($R$1)&amp;"}"</f>
        <v>!!S.06.02.04.01 Columns {18}</v>
      </c>
    </row>
    <row r="17" spans="2:31" ht="18.75">
      <c r="B17" s="88" t="s">
        <v>3630</v>
      </c>
      <c r="C17" s="87"/>
      <c r="D17" s="87"/>
      <c r="E17" s="87"/>
      <c r="F17" s="87"/>
      <c r="G17" s="87"/>
      <c r="H17" s="87"/>
      <c r="I17" s="87"/>
      <c r="J17" s="87"/>
      <c r="K17" s="87"/>
      <c r="L17" s="87"/>
    </row>
    <row r="21" spans="2:31">
      <c r="B21" s="89" t="s">
        <v>3582</v>
      </c>
      <c r="C21" s="92" t="s">
        <v>2877</v>
      </c>
      <c r="D21" s="93"/>
      <c r="E21" s="93"/>
      <c r="F21" s="93"/>
      <c r="G21" s="93"/>
      <c r="H21" s="93"/>
      <c r="I21" s="93"/>
      <c r="J21" s="93"/>
      <c r="K21" s="93"/>
      <c r="L21" s="93"/>
      <c r="M21" s="93"/>
      <c r="N21" s="93"/>
      <c r="O21" s="93"/>
      <c r="P21" s="93"/>
      <c r="Q21" s="93"/>
      <c r="R21" s="93"/>
      <c r="S21" s="93"/>
      <c r="T21" s="93"/>
      <c r="U21" s="94"/>
    </row>
    <row r="22" spans="2:31">
      <c r="B22" s="90"/>
      <c r="C22" s="95"/>
      <c r="D22" s="96"/>
      <c r="E22" s="96"/>
      <c r="F22" s="96"/>
      <c r="G22" s="96"/>
      <c r="H22" s="96"/>
      <c r="I22" s="96"/>
      <c r="J22" s="96"/>
      <c r="K22" s="96"/>
      <c r="L22" s="96"/>
      <c r="M22" s="96"/>
      <c r="N22" s="96"/>
      <c r="O22" s="96"/>
      <c r="P22" s="96"/>
      <c r="Q22" s="96"/>
      <c r="R22" s="96"/>
      <c r="S22" s="96"/>
      <c r="T22" s="96"/>
      <c r="U22" s="97"/>
    </row>
    <row r="23" spans="2:31" ht="45">
      <c r="B23" s="91"/>
      <c r="C23" s="55" t="s">
        <v>3598</v>
      </c>
      <c r="D23" s="55" t="s">
        <v>3600</v>
      </c>
      <c r="E23" s="55" t="s">
        <v>3601</v>
      </c>
      <c r="F23" s="55" t="s">
        <v>3602</v>
      </c>
      <c r="G23" s="55" t="s">
        <v>3603</v>
      </c>
      <c r="H23" s="55" t="s">
        <v>3604</v>
      </c>
      <c r="I23" s="55" t="s">
        <v>3605</v>
      </c>
      <c r="J23" s="55" t="s">
        <v>3606</v>
      </c>
      <c r="K23" s="55" t="s">
        <v>3607</v>
      </c>
      <c r="L23" s="55" t="s">
        <v>3611</v>
      </c>
      <c r="M23" s="55" t="s">
        <v>3631</v>
      </c>
      <c r="N23" s="55" t="s">
        <v>3613</v>
      </c>
      <c r="O23" s="55" t="s">
        <v>3615</v>
      </c>
      <c r="P23" s="55" t="s">
        <v>3617</v>
      </c>
      <c r="Q23" s="55" t="s">
        <v>3619</v>
      </c>
      <c r="R23" s="55" t="s">
        <v>3621</v>
      </c>
      <c r="S23" s="55" t="s">
        <v>3623</v>
      </c>
      <c r="T23" s="55" t="s">
        <v>3625</v>
      </c>
      <c r="U23" s="55" t="s">
        <v>3627</v>
      </c>
    </row>
    <row r="24" spans="2:31">
      <c r="B24" s="42" t="s">
        <v>3223</v>
      </c>
      <c r="C24" s="42" t="s">
        <v>3599</v>
      </c>
      <c r="D24" s="42" t="s">
        <v>3481</v>
      </c>
      <c r="E24" s="42" t="s">
        <v>3508</v>
      </c>
      <c r="F24" s="42" t="s">
        <v>3511</v>
      </c>
      <c r="G24" s="42" t="s">
        <v>3513</v>
      </c>
      <c r="H24" s="42" t="s">
        <v>3514</v>
      </c>
      <c r="I24" s="42" t="s">
        <v>3517</v>
      </c>
      <c r="J24" s="42" t="s">
        <v>3518</v>
      </c>
      <c r="K24" s="42" t="s">
        <v>3608</v>
      </c>
      <c r="L24" s="42" t="s">
        <v>3519</v>
      </c>
      <c r="M24" s="42" t="s">
        <v>3612</v>
      </c>
      <c r="N24" s="42" t="s">
        <v>3614</v>
      </c>
      <c r="O24" s="42" t="s">
        <v>3616</v>
      </c>
      <c r="P24" s="42" t="s">
        <v>3618</v>
      </c>
      <c r="Q24" s="42" t="s">
        <v>3620</v>
      </c>
      <c r="R24" s="42" t="s">
        <v>3622</v>
      </c>
      <c r="S24" s="42" t="s">
        <v>3624</v>
      </c>
      <c r="T24" s="42" t="s">
        <v>3626</v>
      </c>
      <c r="U24" s="42" t="s">
        <v>3628</v>
      </c>
      <c r="AD24" s="13" t="str">
        <f>Show!$B$52&amp;"S.06.02.04.02 Rows {"&amp;COLUMN($B$1)&amp;"}"&amp;"@ForceFilingCode:true"</f>
        <v>!S.06.02.04.02 Rows {2}@ForceFilingCode:true</v>
      </c>
      <c r="AE24" s="13" t="str">
        <f>Show!$B$52&amp;"S.06.02.04.02 Columns {"&amp;COLUMN($B$1)&amp;"}"</f>
        <v>!S.06.02.04.02 Columns {2}</v>
      </c>
    </row>
    <row r="25" spans="2:31">
      <c r="B25" s="50"/>
      <c r="C25" s="51"/>
      <c r="D25" s="51"/>
      <c r="E25" s="51"/>
      <c r="F25" s="51"/>
      <c r="G25" s="51"/>
      <c r="H25" s="51"/>
      <c r="I25" s="51"/>
      <c r="J25" s="51"/>
      <c r="K25" s="51"/>
      <c r="L25" s="51"/>
      <c r="M25" s="51"/>
      <c r="N25" s="51"/>
      <c r="O25" s="51"/>
      <c r="P25" s="51"/>
      <c r="Q25" s="51"/>
      <c r="R25" s="69"/>
      <c r="S25" s="60"/>
      <c r="T25" s="70"/>
      <c r="U25" s="54"/>
    </row>
    <row r="27" spans="2:31">
      <c r="AD27" s="13" t="str">
        <f>Show!$B$52&amp;Show!$B$52&amp;"S.06.02.04.02 Rows {"&amp;COLUMN($B$1)&amp;"}"</f>
        <v>!!S.06.02.04.02 Rows {2}</v>
      </c>
      <c r="AE27" s="13" t="str">
        <f>Show!$B$52&amp;Show!$B$52&amp;"S.06.02.04.02 Columns {"&amp;COLUMN($U$1)&amp;"}"</f>
        <v>!!S.06.02.04.02 Columns {21}</v>
      </c>
    </row>
  </sheetData>
  <sheetProtection sheet="1" objects="1" scenarios="1"/>
  <mergeCells count="11">
    <mergeCell ref="B17:L17"/>
    <mergeCell ref="B21:B23"/>
    <mergeCell ref="C21:U22"/>
    <mergeCell ref="B2:O2"/>
    <mergeCell ref="B5:L5"/>
    <mergeCell ref="B9:B11"/>
    <mergeCell ref="C9:C11"/>
    <mergeCell ref="D9:D11"/>
    <mergeCell ref="E9:E11"/>
    <mergeCell ref="F9:F11"/>
    <mergeCell ref="G9:R10"/>
  </mergeCells>
  <dataValidations count="13">
    <dataValidation type="list" errorStyle="warning" allowBlank="1" showInputMessage="1" showErrorMessage="1" sqref="H13" xr:uid="{BEFC22CC-82C0-411F-96D0-ABC49247CEA4}">
      <formula1>hier_PU_33</formula1>
    </dataValidation>
    <dataValidation type="list" errorStyle="warning" allowBlank="1" showInputMessage="1" showErrorMessage="1" sqref="I13" xr:uid="{F0BF793A-E29B-4A3A-B690-C6C856C6CFDE}">
      <formula1>hier_LB_4</formula1>
    </dataValidation>
    <dataValidation type="list" errorStyle="warning" allowBlank="1" showInputMessage="1" showErrorMessage="1" sqref="J13" xr:uid="{58E0167B-E974-4C01-B6D8-D08F54058B3B}">
      <formula1>hier_CG_2</formula1>
    </dataValidation>
    <dataValidation type="list" errorStyle="warning" allowBlank="1" showInputMessage="1" showErrorMessage="1" sqref="K13" xr:uid="{A27E219D-043C-4B2E-A4D9-A1ED68408F57}">
      <formula1>hier_GA_1</formula1>
    </dataValidation>
    <dataValidation type="list" errorStyle="warning" allowBlank="1" showInputMessage="1" showErrorMessage="1" sqref="O13" xr:uid="{E0461AC4-407C-4261-A2DA-703B37063D45}">
      <formula1>hier_VM_23</formula1>
    </dataValidation>
    <dataValidation type="list" errorStyle="warning" allowBlank="1" showInputMessage="1" showErrorMessage="1" sqref="F25" xr:uid="{AF1BC915-68E6-4D90-AA56-81C02BB9F320}">
      <formula1>hier_NC_1</formula1>
    </dataValidation>
    <dataValidation type="list" errorStyle="warning" allowBlank="1" showInputMessage="1" showErrorMessage="1" sqref="I25" xr:uid="{6D93BDEE-F617-4CE6-92A8-9B7C1430B6CB}">
      <formula1>hier_GA_4</formula1>
    </dataValidation>
    <dataValidation type="list" errorStyle="warning" allowBlank="1" showInputMessage="1" showErrorMessage="1" sqref="J25" xr:uid="{FD1F9650-AD3F-415F-BFA9-DAB4004569B3}">
      <formula1>hier_CU_1</formula1>
    </dataValidation>
    <dataValidation type="list" errorStyle="warning" allowBlank="1" showInputMessage="1" showErrorMessage="1" sqref="L25" xr:uid="{5996117C-9DC7-4790-9A46-B86DB7B0C777}">
      <formula1>hier_MC_50</formula1>
    </dataValidation>
    <dataValidation type="list" errorStyle="warning" allowBlank="1" showInputMessage="1" showErrorMessage="1" sqref="M25" xr:uid="{F8E65550-0D34-4CD0-9BA3-623649B58C85}">
      <formula1>hier_PU_27</formula1>
    </dataValidation>
    <dataValidation type="list" errorStyle="warning" allowBlank="1" showInputMessage="1" showErrorMessage="1" sqref="O25" xr:uid="{6F835DBD-6A93-4954-8F55-80CABEDA8E44}">
      <formula1>hier_SE_29</formula1>
    </dataValidation>
    <dataValidation type="list" errorStyle="warning" allowBlank="1" showInputMessage="1" showErrorMessage="1" sqref="P25" xr:uid="{E07FF528-968B-455D-B7DD-657F123DE040}">
      <formula1>hier_BR_4</formula1>
    </dataValidation>
    <dataValidation type="date" operator="greaterThan" allowBlank="1" showInputMessage="1" showErrorMessage="1" errorTitle="Date value" error="This cell can only contain dates" sqref="U25" xr:uid="{AB31616F-254E-43BA-8B51-665B94229A03}">
      <formula1>1</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A2A24-A754-4D09-A49A-33A03F3E2BA8}">
  <sheetPr codeName="Blad57"/>
  <dimension ref="B2:AE27"/>
  <sheetViews>
    <sheetView showGridLines="0" workbookViewId="0"/>
  </sheetViews>
  <sheetFormatPr defaultRowHeight="15"/>
  <cols>
    <col min="2" max="2" width="29.140625" bestFit="1" customWidth="1"/>
    <col min="3" max="18" width="40.7109375" customWidth="1"/>
    <col min="19" max="22" width="15.7109375" customWidth="1"/>
  </cols>
  <sheetData>
    <row r="2" spans="2:31" ht="23.25">
      <c r="B2" s="86" t="s">
        <v>586</v>
      </c>
      <c r="C2" s="87"/>
      <c r="D2" s="87"/>
      <c r="E2" s="87"/>
      <c r="F2" s="87"/>
      <c r="G2" s="87"/>
      <c r="H2" s="87"/>
      <c r="I2" s="87"/>
      <c r="J2" s="87"/>
      <c r="K2" s="87"/>
      <c r="L2" s="87"/>
      <c r="M2" s="87"/>
      <c r="N2" s="87"/>
      <c r="O2" s="87"/>
    </row>
    <row r="5" spans="2:31" ht="18.75">
      <c r="B5" s="88" t="s">
        <v>3632</v>
      </c>
      <c r="C5" s="87"/>
      <c r="D5" s="87"/>
      <c r="E5" s="87"/>
      <c r="F5" s="87"/>
      <c r="G5" s="87"/>
      <c r="H5" s="87"/>
      <c r="I5" s="87"/>
      <c r="J5" s="87"/>
      <c r="K5" s="87"/>
      <c r="L5" s="87"/>
    </row>
    <row r="9" spans="2:31">
      <c r="B9" s="89" t="s">
        <v>3374</v>
      </c>
      <c r="C9" s="89" t="s">
        <v>3582</v>
      </c>
      <c r="D9" s="89" t="s">
        <v>3322</v>
      </c>
      <c r="E9" s="89" t="s">
        <v>3583</v>
      </c>
      <c r="F9" s="92" t="s">
        <v>2877</v>
      </c>
      <c r="G9" s="93"/>
      <c r="H9" s="93"/>
      <c r="I9" s="93"/>
      <c r="J9" s="93"/>
      <c r="K9" s="93"/>
      <c r="L9" s="93"/>
      <c r="M9" s="93"/>
      <c r="N9" s="93"/>
      <c r="O9" s="93"/>
      <c r="P9" s="93"/>
      <c r="Q9" s="93"/>
      <c r="R9" s="94"/>
    </row>
    <row r="10" spans="2:31">
      <c r="B10" s="90"/>
      <c r="C10" s="90"/>
      <c r="D10" s="90"/>
      <c r="E10" s="90"/>
      <c r="F10" s="95"/>
      <c r="G10" s="96"/>
      <c r="H10" s="96"/>
      <c r="I10" s="96"/>
      <c r="J10" s="96"/>
      <c r="K10" s="96"/>
      <c r="L10" s="96"/>
      <c r="M10" s="96"/>
      <c r="N10" s="96"/>
      <c r="O10" s="96"/>
      <c r="P10" s="96"/>
      <c r="Q10" s="96"/>
      <c r="R10" s="97"/>
    </row>
    <row r="11" spans="2:31" ht="30">
      <c r="B11" s="91"/>
      <c r="C11" s="91"/>
      <c r="D11" s="91"/>
      <c r="E11" s="91"/>
      <c r="F11" s="55" t="s">
        <v>3584</v>
      </c>
      <c r="G11" s="55" t="s">
        <v>3585</v>
      </c>
      <c r="H11" s="55" t="s">
        <v>3586</v>
      </c>
      <c r="I11" s="55" t="s">
        <v>3587</v>
      </c>
      <c r="J11" s="55" t="s">
        <v>3588</v>
      </c>
      <c r="K11" s="55" t="s">
        <v>3589</v>
      </c>
      <c r="L11" s="55" t="s">
        <v>3590</v>
      </c>
      <c r="M11" s="55" t="s">
        <v>3591</v>
      </c>
      <c r="N11" s="55" t="s">
        <v>3592</v>
      </c>
      <c r="O11" s="55" t="s">
        <v>3593</v>
      </c>
      <c r="P11" s="55" t="s">
        <v>3595</v>
      </c>
      <c r="Q11" s="55" t="s">
        <v>3633</v>
      </c>
      <c r="R11" s="55" t="s">
        <v>3635</v>
      </c>
    </row>
    <row r="12" spans="2:31">
      <c r="B12" s="42" t="s">
        <v>3581</v>
      </c>
      <c r="C12" s="42" t="s">
        <v>3223</v>
      </c>
      <c r="D12" s="42" t="s">
        <v>3233</v>
      </c>
      <c r="E12" s="42" t="s">
        <v>3234</v>
      </c>
      <c r="F12" s="42" t="s">
        <v>3231</v>
      </c>
      <c r="G12" s="42" t="s">
        <v>3236</v>
      </c>
      <c r="H12" s="42" t="s">
        <v>3239</v>
      </c>
      <c r="I12" s="42" t="s">
        <v>3241</v>
      </c>
      <c r="J12" s="42" t="s">
        <v>3243</v>
      </c>
      <c r="K12" s="42" t="s">
        <v>3375</v>
      </c>
      <c r="L12" s="42" t="s">
        <v>3475</v>
      </c>
      <c r="M12" s="42" t="s">
        <v>3477</v>
      </c>
      <c r="N12" s="42" t="s">
        <v>3479</v>
      </c>
      <c r="O12" s="42" t="s">
        <v>3594</v>
      </c>
      <c r="P12" s="42" t="s">
        <v>3596</v>
      </c>
      <c r="Q12" s="42" t="s">
        <v>3634</v>
      </c>
      <c r="R12" s="42" t="s">
        <v>3636</v>
      </c>
      <c r="AD12" s="13" t="str">
        <f>Show!$B$53&amp;"S.06.02.07.01 Rows {"&amp;COLUMN($B$1)&amp;"}"&amp;"@ForceFilingCode:true"</f>
        <v>!S.06.02.07.01 Rows {2}@ForceFilingCode:true</v>
      </c>
      <c r="AE12" s="13" t="str">
        <f>Show!$B$53&amp;"S.06.02.07.01 Columns {"&amp;COLUMN($B$1)&amp;"}"</f>
        <v>!S.06.02.07.01 Columns {2}</v>
      </c>
    </row>
    <row r="13" spans="2:31">
      <c r="B13" s="50"/>
      <c r="C13" s="50"/>
      <c r="D13" s="50"/>
      <c r="E13" s="50"/>
      <c r="F13" s="51"/>
      <c r="G13" s="51"/>
      <c r="H13" s="51"/>
      <c r="I13" s="51"/>
      <c r="J13" s="51"/>
      <c r="K13" s="69"/>
      <c r="L13" s="60"/>
      <c r="M13" s="51"/>
      <c r="N13" s="60"/>
      <c r="O13" s="60"/>
      <c r="P13" s="60"/>
      <c r="Q13" s="51"/>
      <c r="R13" s="51"/>
    </row>
    <row r="15" spans="2:31">
      <c r="AD15" s="13" t="str">
        <f>Show!$B$53&amp;Show!$B$53&amp;"S.06.02.07.01 Rows {"&amp;COLUMN($B$1)&amp;"}"</f>
        <v>!!S.06.02.07.01 Rows {2}</v>
      </c>
      <c r="AE15" s="13" t="str">
        <f>Show!$B$53&amp;Show!$B$53&amp;"S.06.02.07.01 Columns {"&amp;COLUMN($R$1)&amp;"}"</f>
        <v>!!S.06.02.07.01 Columns {18}</v>
      </c>
    </row>
    <row r="17" spans="2:31" ht="18.75">
      <c r="B17" s="88" t="s">
        <v>3637</v>
      </c>
      <c r="C17" s="87"/>
      <c r="D17" s="87"/>
      <c r="E17" s="87"/>
      <c r="F17" s="87"/>
      <c r="G17" s="87"/>
      <c r="H17" s="87"/>
      <c r="I17" s="87"/>
      <c r="J17" s="87"/>
      <c r="K17" s="87"/>
      <c r="L17" s="87"/>
    </row>
    <row r="21" spans="2:31">
      <c r="B21" s="89" t="s">
        <v>3582</v>
      </c>
      <c r="C21" s="92" t="s">
        <v>2877</v>
      </c>
      <c r="D21" s="93"/>
      <c r="E21" s="93"/>
      <c r="F21" s="93"/>
      <c r="G21" s="93"/>
      <c r="H21" s="93"/>
      <c r="I21" s="93"/>
      <c r="J21" s="93"/>
      <c r="K21" s="93"/>
      <c r="L21" s="93"/>
      <c r="M21" s="93"/>
      <c r="N21" s="93"/>
      <c r="O21" s="93"/>
      <c r="P21" s="93"/>
      <c r="Q21" s="93"/>
      <c r="R21" s="93"/>
      <c r="S21" s="93"/>
      <c r="T21" s="93"/>
      <c r="U21" s="93"/>
      <c r="V21" s="94"/>
    </row>
    <row r="22" spans="2:31">
      <c r="B22" s="90"/>
      <c r="C22" s="95"/>
      <c r="D22" s="96"/>
      <c r="E22" s="96"/>
      <c r="F22" s="96"/>
      <c r="G22" s="96"/>
      <c r="H22" s="96"/>
      <c r="I22" s="96"/>
      <c r="J22" s="96"/>
      <c r="K22" s="96"/>
      <c r="L22" s="96"/>
      <c r="M22" s="96"/>
      <c r="N22" s="96"/>
      <c r="O22" s="96"/>
      <c r="P22" s="96"/>
      <c r="Q22" s="96"/>
      <c r="R22" s="96"/>
      <c r="S22" s="96"/>
      <c r="T22" s="96"/>
      <c r="U22" s="96"/>
      <c r="V22" s="97"/>
    </row>
    <row r="23" spans="2:31" ht="45">
      <c r="B23" s="91"/>
      <c r="C23" s="55" t="s">
        <v>3598</v>
      </c>
      <c r="D23" s="55" t="s">
        <v>3600</v>
      </c>
      <c r="E23" s="55" t="s">
        <v>3601</v>
      </c>
      <c r="F23" s="55" t="s">
        <v>3602</v>
      </c>
      <c r="G23" s="55" t="s">
        <v>3603</v>
      </c>
      <c r="H23" s="55" t="s">
        <v>3604</v>
      </c>
      <c r="I23" s="55" t="s">
        <v>3605</v>
      </c>
      <c r="J23" s="55" t="s">
        <v>3606</v>
      </c>
      <c r="K23" s="55" t="s">
        <v>3607</v>
      </c>
      <c r="L23" s="55" t="s">
        <v>3609</v>
      </c>
      <c r="M23" s="55" t="s">
        <v>3611</v>
      </c>
      <c r="N23" s="55" t="s">
        <v>3261</v>
      </c>
      <c r="O23" s="55" t="s">
        <v>3613</v>
      </c>
      <c r="P23" s="55" t="s">
        <v>3615</v>
      </c>
      <c r="Q23" s="55" t="s">
        <v>3617</v>
      </c>
      <c r="R23" s="55" t="s">
        <v>3619</v>
      </c>
      <c r="S23" s="55" t="s">
        <v>3621</v>
      </c>
      <c r="T23" s="55" t="s">
        <v>3623</v>
      </c>
      <c r="U23" s="55" t="s">
        <v>3625</v>
      </c>
      <c r="V23" s="55" t="s">
        <v>3627</v>
      </c>
    </row>
    <row r="24" spans="2:31">
      <c r="B24" s="42" t="s">
        <v>3223</v>
      </c>
      <c r="C24" s="42" t="s">
        <v>3599</v>
      </c>
      <c r="D24" s="42" t="s">
        <v>3481</v>
      </c>
      <c r="E24" s="42" t="s">
        <v>3508</v>
      </c>
      <c r="F24" s="42" t="s">
        <v>3511</v>
      </c>
      <c r="G24" s="42" t="s">
        <v>3513</v>
      </c>
      <c r="H24" s="42" t="s">
        <v>3514</v>
      </c>
      <c r="I24" s="42" t="s">
        <v>3517</v>
      </c>
      <c r="J24" s="42" t="s">
        <v>3518</v>
      </c>
      <c r="K24" s="42" t="s">
        <v>3608</v>
      </c>
      <c r="L24" s="42" t="s">
        <v>3610</v>
      </c>
      <c r="M24" s="42" t="s">
        <v>3519</v>
      </c>
      <c r="N24" s="42" t="s">
        <v>3612</v>
      </c>
      <c r="O24" s="42" t="s">
        <v>3614</v>
      </c>
      <c r="P24" s="42" t="s">
        <v>3616</v>
      </c>
      <c r="Q24" s="42" t="s">
        <v>3618</v>
      </c>
      <c r="R24" s="42" t="s">
        <v>3620</v>
      </c>
      <c r="S24" s="42" t="s">
        <v>3622</v>
      </c>
      <c r="T24" s="42" t="s">
        <v>3624</v>
      </c>
      <c r="U24" s="42" t="s">
        <v>3626</v>
      </c>
      <c r="V24" s="42" t="s">
        <v>3628</v>
      </c>
      <c r="AD24" s="13" t="str">
        <f>Show!$B$53&amp;"S.06.02.07.02 Rows {"&amp;COLUMN($B$1)&amp;"}"&amp;"@ForceFilingCode:true"</f>
        <v>!S.06.02.07.02 Rows {2}@ForceFilingCode:true</v>
      </c>
      <c r="AE24" s="13" t="str">
        <f>Show!$B$53&amp;"S.06.02.07.02 Columns {"&amp;COLUMN($B$1)&amp;"}"</f>
        <v>!S.06.02.07.02 Columns {2}</v>
      </c>
    </row>
    <row r="25" spans="2:31">
      <c r="B25" s="50"/>
      <c r="C25" s="51"/>
      <c r="D25" s="51"/>
      <c r="E25" s="51"/>
      <c r="F25" s="51"/>
      <c r="G25" s="51"/>
      <c r="H25" s="51"/>
      <c r="I25" s="51"/>
      <c r="J25" s="51"/>
      <c r="K25" s="51"/>
      <c r="L25" s="51"/>
      <c r="M25" s="51"/>
      <c r="N25" s="51"/>
      <c r="O25" s="51"/>
      <c r="P25" s="51"/>
      <c r="Q25" s="51"/>
      <c r="R25" s="51"/>
      <c r="S25" s="69"/>
      <c r="T25" s="60"/>
      <c r="U25" s="70"/>
      <c r="V25" s="54"/>
    </row>
    <row r="27" spans="2:31">
      <c r="AD27" s="13" t="str">
        <f>Show!$B$53&amp;Show!$B$53&amp;"S.06.02.07.02 Rows {"&amp;COLUMN($B$1)&amp;"}"</f>
        <v>!!S.06.02.07.02 Rows {2}</v>
      </c>
      <c r="AE27" s="13" t="str">
        <f>Show!$B$53&amp;Show!$B$53&amp;"S.06.02.07.02 Columns {"&amp;COLUMN($V$1)&amp;"}"</f>
        <v>!!S.06.02.07.02 Columns {22}</v>
      </c>
    </row>
  </sheetData>
  <sheetProtection sheet="1" objects="1" scenarios="1"/>
  <mergeCells count="10">
    <mergeCell ref="B17:L17"/>
    <mergeCell ref="B21:B23"/>
    <mergeCell ref="C21:V22"/>
    <mergeCell ref="B2:O2"/>
    <mergeCell ref="B5:L5"/>
    <mergeCell ref="B9:B11"/>
    <mergeCell ref="C9:C11"/>
    <mergeCell ref="D9:D11"/>
    <mergeCell ref="E9:E11"/>
    <mergeCell ref="F9:R10"/>
  </mergeCells>
  <dataValidations count="16">
    <dataValidation type="list" errorStyle="warning" allowBlank="1" showInputMessage="1" showErrorMessage="1" sqref="F13" xr:uid="{BD2ADE52-31BA-4A63-B683-008C7DDB977B}">
      <formula1>hier_PU_33</formula1>
    </dataValidation>
    <dataValidation type="list" errorStyle="warning" allowBlank="1" showInputMessage="1" showErrorMessage="1" sqref="G13" xr:uid="{846FEC73-E9C1-4613-B971-A30F388AB87B}">
      <formula1>hier_LB_4</formula1>
    </dataValidation>
    <dataValidation type="list" errorStyle="warning" allowBlank="1" showInputMessage="1" showErrorMessage="1" sqref="H13" xr:uid="{1ABA1D4B-61A3-471D-A3ED-910BAC4F1D4F}">
      <formula1>hier_CG_2</formula1>
    </dataValidation>
    <dataValidation type="list" errorStyle="warning" allowBlank="1" showInputMessage="1" showErrorMessage="1" sqref="I13" xr:uid="{AE448551-D35F-4C82-B468-3AB07ED35EDD}">
      <formula1>hier_GA_1</formula1>
    </dataValidation>
    <dataValidation type="list" errorStyle="warning" allowBlank="1" showInputMessage="1" showErrorMessage="1" sqref="M13" xr:uid="{9A74EDE4-81B8-43F3-99CD-B67802B42B77}">
      <formula1>hier_VM_23</formula1>
    </dataValidation>
    <dataValidation type="list" errorStyle="warning" allowBlank="1" showInputMessage="1" showErrorMessage="1" sqref="Q13" xr:uid="{05E2FDF6-4F34-477B-8273-19DB8E3966DD}">
      <formula1>hier_PU_24</formula1>
    </dataValidation>
    <dataValidation type="list" errorStyle="warning" allowBlank="1" showInputMessage="1" showErrorMessage="1" sqref="R13" xr:uid="{010BFDA3-92F4-4E35-9585-0A4E2E09A35D}">
      <formula1>hier_PU_25</formula1>
    </dataValidation>
    <dataValidation type="list" errorStyle="warning" allowBlank="1" showInputMessage="1" showErrorMessage="1" sqref="F25" xr:uid="{37086580-1BD8-4ACA-903A-423D2EB0F544}">
      <formula1>hier_NC_1</formula1>
    </dataValidation>
    <dataValidation type="list" errorStyle="warning" allowBlank="1" showInputMessage="1" showErrorMessage="1" sqref="I25" xr:uid="{AB032833-3841-4963-93BD-9069BCEBCE62}">
      <formula1>hier_GA_4</formula1>
    </dataValidation>
    <dataValidation type="list" errorStyle="warning" allowBlank="1" showInputMessage="1" showErrorMessage="1" sqref="J25" xr:uid="{93519DFD-E56D-4D3C-BF12-9FBD3C886FEF}">
      <formula1>hier_CU_1</formula1>
    </dataValidation>
    <dataValidation type="list" errorStyle="warning" allowBlank="1" showInputMessage="1" showErrorMessage="1" sqref="L25" xr:uid="{7AD122C3-98B9-44E5-830B-8F2D3CAFFDBC}">
      <formula1>hier_AP_23</formula1>
    </dataValidation>
    <dataValidation type="list" errorStyle="warning" allowBlank="1" showInputMessage="1" showErrorMessage="1" sqref="M25" xr:uid="{E1D08B0E-D570-495D-AD2A-E11D62945CE8}">
      <formula1>hier_MC_50</formula1>
    </dataValidation>
    <dataValidation type="list" errorStyle="warning" allowBlank="1" showInputMessage="1" showErrorMessage="1" sqref="N25" xr:uid="{7007F1F5-DE9E-4FD6-B302-85E71576A98D}">
      <formula1>hier_PU_39</formula1>
    </dataValidation>
    <dataValidation type="list" errorStyle="warning" allowBlank="1" showInputMessage="1" showErrorMessage="1" sqref="P25" xr:uid="{87EB74D4-5204-4E83-8116-A43A12CCD660}">
      <formula1>hier_SE_26</formula1>
    </dataValidation>
    <dataValidation type="list" errorStyle="warning" allowBlank="1" showInputMessage="1" showErrorMessage="1" sqref="Q25" xr:uid="{E9B5295B-D35B-4D7C-8781-5BF92155E50C}">
      <formula1>hier_BR_4</formula1>
    </dataValidation>
    <dataValidation type="date" operator="greaterThan" allowBlank="1" showInputMessage="1" showErrorMessage="1" errorTitle="Date value" error="This cell can only contain dates" sqref="V25" xr:uid="{4CE107AB-423C-4028-ABE5-F7D873E1D598}">
      <formula1>1</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01DEA-399F-46FD-BD17-1C6970BF158A}">
  <sheetPr codeName="Blad58"/>
  <dimension ref="B2:AI27"/>
  <sheetViews>
    <sheetView showGridLines="0" workbookViewId="0"/>
  </sheetViews>
  <sheetFormatPr defaultRowHeight="15"/>
  <cols>
    <col min="2" max="2" width="29.140625" bestFit="1" customWidth="1"/>
    <col min="3" max="21" width="40.7109375" customWidth="1"/>
    <col min="22" max="26" width="15.7109375" customWidth="1"/>
  </cols>
  <sheetData>
    <row r="2" spans="2:35" ht="23.25">
      <c r="B2" s="86" t="s">
        <v>590</v>
      </c>
      <c r="C2" s="87"/>
      <c r="D2" s="87"/>
      <c r="E2" s="87"/>
      <c r="F2" s="87"/>
      <c r="G2" s="87"/>
      <c r="H2" s="87"/>
      <c r="I2" s="87"/>
      <c r="J2" s="87"/>
      <c r="K2" s="87"/>
      <c r="L2" s="87"/>
      <c r="M2" s="87"/>
      <c r="N2" s="87"/>
      <c r="O2" s="87"/>
    </row>
    <row r="5" spans="2:35" ht="18.75">
      <c r="B5" s="88" t="s">
        <v>3638</v>
      </c>
      <c r="C5" s="87"/>
      <c r="D5" s="87"/>
      <c r="E5" s="87"/>
      <c r="F5" s="87"/>
      <c r="G5" s="87"/>
      <c r="H5" s="87"/>
      <c r="I5" s="87"/>
      <c r="J5" s="87"/>
      <c r="K5" s="87"/>
      <c r="L5" s="87"/>
    </row>
    <row r="9" spans="2:35">
      <c r="B9" s="89" t="s">
        <v>3374</v>
      </c>
      <c r="C9" s="89" t="s">
        <v>3582</v>
      </c>
      <c r="D9" s="89" t="s">
        <v>3322</v>
      </c>
      <c r="E9" s="89" t="s">
        <v>3583</v>
      </c>
      <c r="F9" s="92" t="s">
        <v>2877</v>
      </c>
      <c r="G9" s="93"/>
      <c r="H9" s="93"/>
      <c r="I9" s="93"/>
      <c r="J9" s="93"/>
      <c r="K9" s="93"/>
      <c r="L9" s="93"/>
      <c r="M9" s="93"/>
      <c r="N9" s="93"/>
      <c r="O9" s="93"/>
      <c r="P9" s="93"/>
      <c r="Q9" s="94"/>
    </row>
    <row r="10" spans="2:35">
      <c r="B10" s="90"/>
      <c r="C10" s="90"/>
      <c r="D10" s="90"/>
      <c r="E10" s="90"/>
      <c r="F10" s="95"/>
      <c r="G10" s="96"/>
      <c r="H10" s="96"/>
      <c r="I10" s="96"/>
      <c r="J10" s="96"/>
      <c r="K10" s="96"/>
      <c r="L10" s="96"/>
      <c r="M10" s="96"/>
      <c r="N10" s="96"/>
      <c r="O10" s="96"/>
      <c r="P10" s="96"/>
      <c r="Q10" s="97"/>
    </row>
    <row r="11" spans="2:35" ht="30">
      <c r="B11" s="91"/>
      <c r="C11" s="91"/>
      <c r="D11" s="91"/>
      <c r="E11" s="91"/>
      <c r="F11" s="55" t="s">
        <v>3584</v>
      </c>
      <c r="G11" s="55" t="s">
        <v>3585</v>
      </c>
      <c r="H11" s="55" t="s">
        <v>3586</v>
      </c>
      <c r="I11" s="55" t="s">
        <v>3587</v>
      </c>
      <c r="J11" s="55" t="s">
        <v>3588</v>
      </c>
      <c r="K11" s="55" t="s">
        <v>3589</v>
      </c>
      <c r="L11" s="55" t="s">
        <v>3590</v>
      </c>
      <c r="M11" s="55" t="s">
        <v>3639</v>
      </c>
      <c r="N11" s="55" t="s">
        <v>3591</v>
      </c>
      <c r="O11" s="55" t="s">
        <v>3592</v>
      </c>
      <c r="P11" s="55" t="s">
        <v>3593</v>
      </c>
      <c r="Q11" s="55" t="s">
        <v>3595</v>
      </c>
    </row>
    <row r="12" spans="2:35">
      <c r="B12" s="42" t="s">
        <v>3581</v>
      </c>
      <c r="C12" s="42" t="s">
        <v>3223</v>
      </c>
      <c r="D12" s="42" t="s">
        <v>3233</v>
      </c>
      <c r="E12" s="42" t="s">
        <v>3234</v>
      </c>
      <c r="F12" s="42" t="s">
        <v>3231</v>
      </c>
      <c r="G12" s="42" t="s">
        <v>3236</v>
      </c>
      <c r="H12" s="42" t="s">
        <v>3239</v>
      </c>
      <c r="I12" s="42" t="s">
        <v>3241</v>
      </c>
      <c r="J12" s="42" t="s">
        <v>3243</v>
      </c>
      <c r="K12" s="42" t="s">
        <v>3375</v>
      </c>
      <c r="L12" s="42" t="s">
        <v>3475</v>
      </c>
      <c r="M12" s="42" t="s">
        <v>3640</v>
      </c>
      <c r="N12" s="42" t="s">
        <v>3477</v>
      </c>
      <c r="O12" s="42" t="s">
        <v>3479</v>
      </c>
      <c r="P12" s="42" t="s">
        <v>3594</v>
      </c>
      <c r="Q12" s="42" t="s">
        <v>3596</v>
      </c>
      <c r="AH12" s="13" t="str">
        <f>Show!$B$54&amp;"SE.06.02.16.01 Rows {"&amp;COLUMN($B$1)&amp;"}"&amp;"@ForceFilingCode:true"</f>
        <v>!SE.06.02.16.01 Rows {2}@ForceFilingCode:true</v>
      </c>
      <c r="AI12" s="13" t="str">
        <f>Show!$B$54&amp;"SE.06.02.16.01 Columns {"&amp;COLUMN($B$1)&amp;"}"</f>
        <v>!SE.06.02.16.01 Columns {2}</v>
      </c>
    </row>
    <row r="13" spans="2:35">
      <c r="B13" s="50"/>
      <c r="C13" s="50"/>
      <c r="D13" s="50"/>
      <c r="E13" s="50"/>
      <c r="F13" s="51"/>
      <c r="G13" s="51"/>
      <c r="H13" s="51"/>
      <c r="I13" s="51"/>
      <c r="J13" s="51"/>
      <c r="K13" s="69"/>
      <c r="L13" s="60"/>
      <c r="M13" s="60"/>
      <c r="N13" s="51"/>
      <c r="O13" s="60"/>
      <c r="P13" s="60"/>
      <c r="Q13" s="60"/>
    </row>
    <row r="15" spans="2:35">
      <c r="AH15" s="13" t="str">
        <f>Show!$B$54&amp;Show!$B$54&amp;"SE.06.02.16.01 Rows {"&amp;COLUMN($B$1)&amp;"}"</f>
        <v>!!SE.06.02.16.01 Rows {2}</v>
      </c>
      <c r="AI15" s="13" t="str">
        <f>Show!$B$54&amp;Show!$B$54&amp;"SE.06.02.16.01 Columns {"&amp;COLUMN($Q$1)&amp;"}"</f>
        <v>!!SE.06.02.16.01 Columns {17}</v>
      </c>
    </row>
    <row r="17" spans="2:35" ht="18.75">
      <c r="B17" s="88" t="s">
        <v>3641</v>
      </c>
      <c r="C17" s="87"/>
      <c r="D17" s="87"/>
      <c r="E17" s="87"/>
      <c r="F17" s="87"/>
      <c r="G17" s="87"/>
      <c r="H17" s="87"/>
      <c r="I17" s="87"/>
      <c r="J17" s="87"/>
      <c r="K17" s="87"/>
      <c r="L17" s="87"/>
    </row>
    <row r="21" spans="2:35">
      <c r="B21" s="89" t="s">
        <v>3582</v>
      </c>
      <c r="C21" s="92" t="s">
        <v>2877</v>
      </c>
      <c r="D21" s="93"/>
      <c r="E21" s="93"/>
      <c r="F21" s="93"/>
      <c r="G21" s="93"/>
      <c r="H21" s="93"/>
      <c r="I21" s="93"/>
      <c r="J21" s="93"/>
      <c r="K21" s="93"/>
      <c r="L21" s="93"/>
      <c r="M21" s="93"/>
      <c r="N21" s="93"/>
      <c r="O21" s="93"/>
      <c r="P21" s="93"/>
      <c r="Q21" s="93"/>
      <c r="R21" s="93"/>
      <c r="S21" s="93"/>
      <c r="T21" s="93"/>
      <c r="U21" s="93"/>
      <c r="V21" s="93"/>
      <c r="W21" s="93"/>
      <c r="X21" s="93"/>
      <c r="Y21" s="93"/>
      <c r="Z21" s="94"/>
    </row>
    <row r="22" spans="2:35">
      <c r="B22" s="90"/>
      <c r="C22" s="95"/>
      <c r="D22" s="96"/>
      <c r="E22" s="96"/>
      <c r="F22" s="96"/>
      <c r="G22" s="96"/>
      <c r="H22" s="96"/>
      <c r="I22" s="96"/>
      <c r="J22" s="96"/>
      <c r="K22" s="96"/>
      <c r="L22" s="96"/>
      <c r="M22" s="96"/>
      <c r="N22" s="96"/>
      <c r="O22" s="96"/>
      <c r="P22" s="96"/>
      <c r="Q22" s="96"/>
      <c r="R22" s="96"/>
      <c r="S22" s="96"/>
      <c r="T22" s="96"/>
      <c r="U22" s="96"/>
      <c r="V22" s="96"/>
      <c r="W22" s="96"/>
      <c r="X22" s="96"/>
      <c r="Y22" s="96"/>
      <c r="Z22" s="97"/>
    </row>
    <row r="23" spans="2:35" ht="45">
      <c r="B23" s="91"/>
      <c r="C23" s="55" t="s">
        <v>3598</v>
      </c>
      <c r="D23" s="55" t="s">
        <v>3600</v>
      </c>
      <c r="E23" s="55" t="s">
        <v>3601</v>
      </c>
      <c r="F23" s="55" t="s">
        <v>3602</v>
      </c>
      <c r="G23" s="55" t="s">
        <v>3642</v>
      </c>
      <c r="H23" s="55" t="s">
        <v>3603</v>
      </c>
      <c r="I23" s="55" t="s">
        <v>3604</v>
      </c>
      <c r="J23" s="55" t="s">
        <v>3605</v>
      </c>
      <c r="K23" s="55" t="s">
        <v>3644</v>
      </c>
      <c r="L23" s="55" t="s">
        <v>3606</v>
      </c>
      <c r="M23" s="55" t="s">
        <v>3607</v>
      </c>
      <c r="N23" s="55" t="s">
        <v>3646</v>
      </c>
      <c r="O23" s="55" t="s">
        <v>3609</v>
      </c>
      <c r="P23" s="55" t="s">
        <v>3611</v>
      </c>
      <c r="Q23" s="55" t="s">
        <v>3261</v>
      </c>
      <c r="R23" s="55" t="s">
        <v>3613</v>
      </c>
      <c r="S23" s="55" t="s">
        <v>3615</v>
      </c>
      <c r="T23" s="55" t="s">
        <v>3617</v>
      </c>
      <c r="U23" s="55" t="s">
        <v>3619</v>
      </c>
      <c r="V23" s="55" t="s">
        <v>3621</v>
      </c>
      <c r="W23" s="55" t="s">
        <v>3623</v>
      </c>
      <c r="X23" s="55" t="s">
        <v>3625</v>
      </c>
      <c r="Y23" s="55" t="s">
        <v>3648</v>
      </c>
      <c r="Z23" s="55" t="s">
        <v>3627</v>
      </c>
    </row>
    <row r="24" spans="2:35">
      <c r="B24" s="42" t="s">
        <v>3223</v>
      </c>
      <c r="C24" s="42" t="s">
        <v>3599</v>
      </c>
      <c r="D24" s="42" t="s">
        <v>3481</v>
      </c>
      <c r="E24" s="42" t="s">
        <v>3508</v>
      </c>
      <c r="F24" s="42" t="s">
        <v>3511</v>
      </c>
      <c r="G24" s="42" t="s">
        <v>3643</v>
      </c>
      <c r="H24" s="42" t="s">
        <v>3513</v>
      </c>
      <c r="I24" s="42" t="s">
        <v>3514</v>
      </c>
      <c r="J24" s="42" t="s">
        <v>3517</v>
      </c>
      <c r="K24" s="42" t="s">
        <v>3645</v>
      </c>
      <c r="L24" s="42" t="s">
        <v>3518</v>
      </c>
      <c r="M24" s="42" t="s">
        <v>3608</v>
      </c>
      <c r="N24" s="42" t="s">
        <v>3647</v>
      </c>
      <c r="O24" s="42" t="s">
        <v>3610</v>
      </c>
      <c r="P24" s="42" t="s">
        <v>3519</v>
      </c>
      <c r="Q24" s="42" t="s">
        <v>3612</v>
      </c>
      <c r="R24" s="42" t="s">
        <v>3614</v>
      </c>
      <c r="S24" s="42" t="s">
        <v>3616</v>
      </c>
      <c r="T24" s="42" t="s">
        <v>3618</v>
      </c>
      <c r="U24" s="42" t="s">
        <v>3620</v>
      </c>
      <c r="V24" s="42" t="s">
        <v>3622</v>
      </c>
      <c r="W24" s="42" t="s">
        <v>3624</v>
      </c>
      <c r="X24" s="42" t="s">
        <v>3626</v>
      </c>
      <c r="Y24" s="42" t="s">
        <v>3649</v>
      </c>
      <c r="Z24" s="42" t="s">
        <v>3628</v>
      </c>
      <c r="AH24" s="13" t="str">
        <f>Show!$B$54&amp;"SE.06.02.16.02 Rows {"&amp;COLUMN($B$1)&amp;"}"&amp;"@ForceFilingCode:true"</f>
        <v>!SE.06.02.16.02 Rows {2}@ForceFilingCode:true</v>
      </c>
      <c r="AI24" s="13" t="str">
        <f>Show!$B$54&amp;"SE.06.02.16.02 Columns {"&amp;COLUMN($B$1)&amp;"}"</f>
        <v>!SE.06.02.16.02 Columns {2}</v>
      </c>
    </row>
    <row r="25" spans="2:35">
      <c r="B25" s="50"/>
      <c r="C25" s="51"/>
      <c r="D25" s="51"/>
      <c r="E25" s="51"/>
      <c r="F25" s="51"/>
      <c r="G25" s="51"/>
      <c r="H25" s="51"/>
      <c r="I25" s="51"/>
      <c r="J25" s="51"/>
      <c r="K25" s="51"/>
      <c r="L25" s="51"/>
      <c r="M25" s="51"/>
      <c r="N25" s="51"/>
      <c r="O25" s="51"/>
      <c r="P25" s="51"/>
      <c r="Q25" s="51"/>
      <c r="R25" s="51"/>
      <c r="S25" s="51"/>
      <c r="T25" s="51"/>
      <c r="U25" s="51"/>
      <c r="V25" s="69"/>
      <c r="W25" s="60"/>
      <c r="X25" s="70"/>
      <c r="Y25" s="54"/>
      <c r="Z25" s="54"/>
    </row>
    <row r="27" spans="2:35">
      <c r="AH27" s="13" t="str">
        <f>Show!$B$54&amp;Show!$B$54&amp;"SE.06.02.16.02 Rows {"&amp;COLUMN($B$1)&amp;"}"</f>
        <v>!!SE.06.02.16.02 Rows {2}</v>
      </c>
      <c r="AI27" s="13" t="str">
        <f>Show!$B$54&amp;Show!$B$54&amp;"SE.06.02.16.02 Columns {"&amp;COLUMN($Z$1)&amp;"}"</f>
        <v>!!SE.06.02.16.02 Columns {26}</v>
      </c>
    </row>
  </sheetData>
  <sheetProtection sheet="1" objects="1" scenarios="1"/>
  <mergeCells count="10">
    <mergeCell ref="B17:L17"/>
    <mergeCell ref="B21:B23"/>
    <mergeCell ref="C21:Z22"/>
    <mergeCell ref="B2:O2"/>
    <mergeCell ref="B5:L5"/>
    <mergeCell ref="B9:B11"/>
    <mergeCell ref="C9:C11"/>
    <mergeCell ref="D9:D11"/>
    <mergeCell ref="E9:E11"/>
    <mergeCell ref="F9:Q10"/>
  </mergeCells>
  <dataValidations count="17">
    <dataValidation type="list" errorStyle="warning" allowBlank="1" showInputMessage="1" showErrorMessage="1" sqref="F13" xr:uid="{92F404BB-98C2-4055-9C50-CF274DE18E79}">
      <formula1>hier_PU_33</formula1>
    </dataValidation>
    <dataValidation type="list" errorStyle="warning" allowBlank="1" showInputMessage="1" showErrorMessage="1" sqref="G13" xr:uid="{A440F800-1273-4E2C-BA81-9547A78C04B5}">
      <formula1>hier_LB_4</formula1>
    </dataValidation>
    <dataValidation type="list" errorStyle="warning" allowBlank="1" showInputMessage="1" showErrorMessage="1" sqref="H13" xr:uid="{ED318C6A-0E6B-43A4-B58A-E4F6B8F129D2}">
      <formula1>hier_CG_2</formula1>
    </dataValidation>
    <dataValidation type="list" errorStyle="warning" allowBlank="1" showInputMessage="1" showErrorMessage="1" sqref="I13" xr:uid="{B22E74F8-A584-4EDC-BADF-20A250FF5761}">
      <formula1>hier_GA_1</formula1>
    </dataValidation>
    <dataValidation type="list" errorStyle="warning" allowBlank="1" showInputMessage="1" showErrorMessage="1" sqref="N13" xr:uid="{1355AE90-DD4E-42A0-8669-6A6F942096FC}">
      <formula1>hier_VM_23</formula1>
    </dataValidation>
    <dataValidation type="list" errorStyle="warning" allowBlank="1" showInputMessage="1" showErrorMessage="1" sqref="F25" xr:uid="{B238698E-DBFD-4066-AECC-F6EEFDFBDE03}">
      <formula1>hier_NC_1</formula1>
    </dataValidation>
    <dataValidation type="list" errorStyle="warning" allowBlank="1" showInputMessage="1" showErrorMessage="1" sqref="G25" xr:uid="{E0D10F39-FE56-4F94-85FA-06914E180ACF}">
      <formula1>hier_SE_18</formula1>
    </dataValidation>
    <dataValidation type="list" errorStyle="warning" allowBlank="1" showInputMessage="1" showErrorMessage="1" sqref="J25" xr:uid="{F7EC70BF-82B1-4CC5-A85F-2D76017ED1C6}">
      <formula1>hier_GA_4</formula1>
    </dataValidation>
    <dataValidation type="list" errorStyle="warning" allowBlank="1" showInputMessage="1" showErrorMessage="1" sqref="K25" xr:uid="{A4FE14BE-F623-4060-88B3-3949270BC5A5}">
      <formula1>hier_GA_18</formula1>
    </dataValidation>
    <dataValidation type="list" errorStyle="warning" allowBlank="1" showInputMessage="1" showErrorMessage="1" sqref="L25" xr:uid="{1C837DFA-1099-42F8-B4B8-9A514F1728A5}">
      <formula1>hier_CU_1</formula1>
    </dataValidation>
    <dataValidation type="list" errorStyle="warning" allowBlank="1" showInputMessage="1" showErrorMessage="1" sqref="N25" xr:uid="{C31E0C23-0106-4AC9-888C-50FAA8094E5C}">
      <formula1>hier_MC_48</formula1>
    </dataValidation>
    <dataValidation type="list" errorStyle="warning" allowBlank="1" showInputMessage="1" showErrorMessage="1" sqref="O25" xr:uid="{345CAE5B-01C3-48BF-BA8D-45589A25B355}">
      <formula1>hier_AP_23</formula1>
    </dataValidation>
    <dataValidation type="list" errorStyle="warning" allowBlank="1" showInputMessage="1" showErrorMessage="1" sqref="P25" xr:uid="{F2DCE02E-6E2E-498D-A889-9D9E853F955E}">
      <formula1>hier_MC_50</formula1>
    </dataValidation>
    <dataValidation type="list" errorStyle="warning" allowBlank="1" showInputMessage="1" showErrorMessage="1" sqref="Q25" xr:uid="{0AFB1928-5409-4B43-9AE4-D67A2D6964F4}">
      <formula1>hier_PU_39</formula1>
    </dataValidation>
    <dataValidation type="list" errorStyle="warning" allowBlank="1" showInputMessage="1" showErrorMessage="1" sqref="S25" xr:uid="{6A0E74B7-FD6F-4A4A-BFA4-C788AE60D369}">
      <formula1>hier_SE_26</formula1>
    </dataValidation>
    <dataValidation type="list" errorStyle="warning" allowBlank="1" showInputMessage="1" showErrorMessage="1" sqref="T25" xr:uid="{249DC3DA-6151-400E-94EC-B7BBB5398CB1}">
      <formula1>hier_BR_4</formula1>
    </dataValidation>
    <dataValidation type="date" operator="greaterThan" allowBlank="1" showInputMessage="1" showErrorMessage="1" errorTitle="Date value" error="This cell can only contain dates" sqref="Y25:Z25" xr:uid="{CCBDBFBF-6FAA-4657-9E40-9E44B2DCF952}">
      <formula1>1</formula1>
    </dataValidation>
  </dataValidation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9AE9D-72A2-47AD-86A6-26841E0743F9}">
  <sheetPr codeName="Blad59"/>
  <dimension ref="B2:AI27"/>
  <sheetViews>
    <sheetView showGridLines="0" workbookViewId="0"/>
  </sheetViews>
  <sheetFormatPr defaultRowHeight="15"/>
  <cols>
    <col min="2" max="2" width="29.140625" bestFit="1" customWidth="1"/>
    <col min="3" max="21" width="40.7109375" customWidth="1"/>
    <col min="22" max="26" width="15.7109375" customWidth="1"/>
  </cols>
  <sheetData>
    <row r="2" spans="2:35" ht="23.25">
      <c r="B2" s="86" t="s">
        <v>592</v>
      </c>
      <c r="C2" s="87"/>
      <c r="D2" s="87"/>
      <c r="E2" s="87"/>
      <c r="F2" s="87"/>
      <c r="G2" s="87"/>
      <c r="H2" s="87"/>
      <c r="I2" s="87"/>
      <c r="J2" s="87"/>
      <c r="K2" s="87"/>
      <c r="L2" s="87"/>
      <c r="M2" s="87"/>
      <c r="N2" s="87"/>
      <c r="O2" s="87"/>
    </row>
    <row r="5" spans="2:35" ht="18.75">
      <c r="B5" s="88" t="s">
        <v>3650</v>
      </c>
      <c r="C5" s="87"/>
      <c r="D5" s="87"/>
      <c r="E5" s="87"/>
      <c r="F5" s="87"/>
      <c r="G5" s="87"/>
      <c r="H5" s="87"/>
      <c r="I5" s="87"/>
      <c r="J5" s="87"/>
      <c r="K5" s="87"/>
      <c r="L5" s="87"/>
    </row>
    <row r="9" spans="2:35">
      <c r="B9" s="89" t="s">
        <v>3374</v>
      </c>
      <c r="C9" s="89" t="s">
        <v>3582</v>
      </c>
      <c r="D9" s="89" t="s">
        <v>3322</v>
      </c>
      <c r="E9" s="89" t="s">
        <v>3583</v>
      </c>
      <c r="F9" s="92" t="s">
        <v>2877</v>
      </c>
      <c r="G9" s="93"/>
      <c r="H9" s="93"/>
      <c r="I9" s="93"/>
      <c r="J9" s="93"/>
      <c r="K9" s="93"/>
      <c r="L9" s="93"/>
      <c r="M9" s="93"/>
      <c r="N9" s="93"/>
      <c r="O9" s="93"/>
      <c r="P9" s="93"/>
      <c r="Q9" s="93"/>
      <c r="R9" s="93"/>
      <c r="S9" s="94"/>
    </row>
    <row r="10" spans="2:35">
      <c r="B10" s="90"/>
      <c r="C10" s="90"/>
      <c r="D10" s="90"/>
      <c r="E10" s="90"/>
      <c r="F10" s="95"/>
      <c r="G10" s="96"/>
      <c r="H10" s="96"/>
      <c r="I10" s="96"/>
      <c r="J10" s="96"/>
      <c r="K10" s="96"/>
      <c r="L10" s="96"/>
      <c r="M10" s="96"/>
      <c r="N10" s="96"/>
      <c r="O10" s="96"/>
      <c r="P10" s="96"/>
      <c r="Q10" s="96"/>
      <c r="R10" s="96"/>
      <c r="S10" s="97"/>
    </row>
    <row r="11" spans="2:35" ht="30">
      <c r="B11" s="91"/>
      <c r="C11" s="91"/>
      <c r="D11" s="91"/>
      <c r="E11" s="91"/>
      <c r="F11" s="55" t="s">
        <v>3584</v>
      </c>
      <c r="G11" s="55" t="s">
        <v>3585</v>
      </c>
      <c r="H11" s="55" t="s">
        <v>3586</v>
      </c>
      <c r="I11" s="55" t="s">
        <v>3587</v>
      </c>
      <c r="J11" s="55" t="s">
        <v>3588</v>
      </c>
      <c r="K11" s="55" t="s">
        <v>3589</v>
      </c>
      <c r="L11" s="55" t="s">
        <v>3590</v>
      </c>
      <c r="M11" s="55" t="s">
        <v>3639</v>
      </c>
      <c r="N11" s="55" t="s">
        <v>3591</v>
      </c>
      <c r="O11" s="55" t="s">
        <v>3592</v>
      </c>
      <c r="P11" s="55" t="s">
        <v>3593</v>
      </c>
      <c r="Q11" s="55" t="s">
        <v>3595</v>
      </c>
      <c r="R11" s="55" t="s">
        <v>3633</v>
      </c>
      <c r="S11" s="55" t="s">
        <v>3635</v>
      </c>
    </row>
    <row r="12" spans="2:35">
      <c r="B12" s="42" t="s">
        <v>3581</v>
      </c>
      <c r="C12" s="42" t="s">
        <v>3223</v>
      </c>
      <c r="D12" s="42" t="s">
        <v>3233</v>
      </c>
      <c r="E12" s="42" t="s">
        <v>3234</v>
      </c>
      <c r="F12" s="42" t="s">
        <v>3231</v>
      </c>
      <c r="G12" s="42" t="s">
        <v>3236</v>
      </c>
      <c r="H12" s="42" t="s">
        <v>3239</v>
      </c>
      <c r="I12" s="42" t="s">
        <v>3241</v>
      </c>
      <c r="J12" s="42" t="s">
        <v>3243</v>
      </c>
      <c r="K12" s="42" t="s">
        <v>3375</v>
      </c>
      <c r="L12" s="42" t="s">
        <v>3475</v>
      </c>
      <c r="M12" s="42" t="s">
        <v>3640</v>
      </c>
      <c r="N12" s="42" t="s">
        <v>3477</v>
      </c>
      <c r="O12" s="42" t="s">
        <v>3479</v>
      </c>
      <c r="P12" s="42" t="s">
        <v>3594</v>
      </c>
      <c r="Q12" s="42" t="s">
        <v>3596</v>
      </c>
      <c r="R12" s="42" t="s">
        <v>3634</v>
      </c>
      <c r="S12" s="42" t="s">
        <v>3636</v>
      </c>
      <c r="AH12" s="13" t="str">
        <f>Show!$B$55&amp;"SE.06.02.18.01 Rows {"&amp;COLUMN($B$1)&amp;"}"&amp;"@ForceFilingCode:true"</f>
        <v>!SE.06.02.18.01 Rows {2}@ForceFilingCode:true</v>
      </c>
      <c r="AI12" s="13" t="str">
        <f>Show!$B$55&amp;"SE.06.02.18.01 Columns {"&amp;COLUMN($B$1)&amp;"}"</f>
        <v>!SE.06.02.18.01 Columns {2}</v>
      </c>
    </row>
    <row r="13" spans="2:35">
      <c r="B13" s="50"/>
      <c r="C13" s="50"/>
      <c r="D13" s="50"/>
      <c r="E13" s="50"/>
      <c r="F13" s="51"/>
      <c r="G13" s="51"/>
      <c r="H13" s="51"/>
      <c r="I13" s="51"/>
      <c r="J13" s="51"/>
      <c r="K13" s="69"/>
      <c r="L13" s="60"/>
      <c r="M13" s="60"/>
      <c r="N13" s="51"/>
      <c r="O13" s="60"/>
      <c r="P13" s="60"/>
      <c r="Q13" s="60"/>
      <c r="R13" s="51"/>
      <c r="S13" s="51"/>
    </row>
    <row r="15" spans="2:35">
      <c r="AH15" s="13" t="str">
        <f>Show!$B$55&amp;Show!$B$55&amp;"SE.06.02.18.01 Rows {"&amp;COLUMN($B$1)&amp;"}"</f>
        <v>!!SE.06.02.18.01 Rows {2}</v>
      </c>
      <c r="AI15" s="13" t="str">
        <f>Show!$B$55&amp;Show!$B$55&amp;"SE.06.02.18.01 Columns {"&amp;COLUMN($S$1)&amp;"}"</f>
        <v>!!SE.06.02.18.01 Columns {19}</v>
      </c>
    </row>
    <row r="17" spans="2:35" ht="18.75">
      <c r="B17" s="88" t="s">
        <v>3651</v>
      </c>
      <c r="C17" s="87"/>
      <c r="D17" s="87"/>
      <c r="E17" s="87"/>
      <c r="F17" s="87"/>
      <c r="G17" s="87"/>
      <c r="H17" s="87"/>
      <c r="I17" s="87"/>
      <c r="J17" s="87"/>
      <c r="K17" s="87"/>
      <c r="L17" s="87"/>
    </row>
    <row r="21" spans="2:35">
      <c r="B21" s="89" t="s">
        <v>3582</v>
      </c>
      <c r="C21" s="92" t="s">
        <v>2877</v>
      </c>
      <c r="D21" s="93"/>
      <c r="E21" s="93"/>
      <c r="F21" s="93"/>
      <c r="G21" s="93"/>
      <c r="H21" s="93"/>
      <c r="I21" s="93"/>
      <c r="J21" s="93"/>
      <c r="K21" s="93"/>
      <c r="L21" s="93"/>
      <c r="M21" s="93"/>
      <c r="N21" s="93"/>
      <c r="O21" s="93"/>
      <c r="P21" s="93"/>
      <c r="Q21" s="93"/>
      <c r="R21" s="93"/>
      <c r="S21" s="93"/>
      <c r="T21" s="93"/>
      <c r="U21" s="93"/>
      <c r="V21" s="93"/>
      <c r="W21" s="93"/>
      <c r="X21" s="93"/>
      <c r="Y21" s="93"/>
      <c r="Z21" s="94"/>
    </row>
    <row r="22" spans="2:35">
      <c r="B22" s="90"/>
      <c r="C22" s="95"/>
      <c r="D22" s="96"/>
      <c r="E22" s="96"/>
      <c r="F22" s="96"/>
      <c r="G22" s="96"/>
      <c r="H22" s="96"/>
      <c r="I22" s="96"/>
      <c r="J22" s="96"/>
      <c r="K22" s="96"/>
      <c r="L22" s="96"/>
      <c r="M22" s="96"/>
      <c r="N22" s="96"/>
      <c r="O22" s="96"/>
      <c r="P22" s="96"/>
      <c r="Q22" s="96"/>
      <c r="R22" s="96"/>
      <c r="S22" s="96"/>
      <c r="T22" s="96"/>
      <c r="U22" s="96"/>
      <c r="V22" s="96"/>
      <c r="W22" s="96"/>
      <c r="X22" s="96"/>
      <c r="Y22" s="96"/>
      <c r="Z22" s="97"/>
    </row>
    <row r="23" spans="2:35" ht="45">
      <c r="B23" s="91"/>
      <c r="C23" s="55" t="s">
        <v>3598</v>
      </c>
      <c r="D23" s="55" t="s">
        <v>3600</v>
      </c>
      <c r="E23" s="55" t="s">
        <v>3601</v>
      </c>
      <c r="F23" s="55" t="s">
        <v>3602</v>
      </c>
      <c r="G23" s="55" t="s">
        <v>3642</v>
      </c>
      <c r="H23" s="55" t="s">
        <v>3603</v>
      </c>
      <c r="I23" s="55" t="s">
        <v>3604</v>
      </c>
      <c r="J23" s="55" t="s">
        <v>3605</v>
      </c>
      <c r="K23" s="55" t="s">
        <v>3644</v>
      </c>
      <c r="L23" s="55" t="s">
        <v>3606</v>
      </c>
      <c r="M23" s="55" t="s">
        <v>3607</v>
      </c>
      <c r="N23" s="55" t="s">
        <v>3646</v>
      </c>
      <c r="O23" s="55" t="s">
        <v>3609</v>
      </c>
      <c r="P23" s="55" t="s">
        <v>3611</v>
      </c>
      <c r="Q23" s="55" t="s">
        <v>3261</v>
      </c>
      <c r="R23" s="55" t="s">
        <v>3613</v>
      </c>
      <c r="S23" s="55" t="s">
        <v>3615</v>
      </c>
      <c r="T23" s="55" t="s">
        <v>3617</v>
      </c>
      <c r="U23" s="55" t="s">
        <v>3619</v>
      </c>
      <c r="V23" s="55" t="s">
        <v>3621</v>
      </c>
      <c r="W23" s="55" t="s">
        <v>3623</v>
      </c>
      <c r="X23" s="55" t="s">
        <v>3625</v>
      </c>
      <c r="Y23" s="55" t="s">
        <v>3648</v>
      </c>
      <c r="Z23" s="55" t="s">
        <v>3627</v>
      </c>
    </row>
    <row r="24" spans="2:35">
      <c r="B24" s="42" t="s">
        <v>3223</v>
      </c>
      <c r="C24" s="42" t="s">
        <v>3599</v>
      </c>
      <c r="D24" s="42" t="s">
        <v>3481</v>
      </c>
      <c r="E24" s="42" t="s">
        <v>3508</v>
      </c>
      <c r="F24" s="42" t="s">
        <v>3511</v>
      </c>
      <c r="G24" s="42" t="s">
        <v>3643</v>
      </c>
      <c r="H24" s="42" t="s">
        <v>3513</v>
      </c>
      <c r="I24" s="42" t="s">
        <v>3514</v>
      </c>
      <c r="J24" s="42" t="s">
        <v>3517</v>
      </c>
      <c r="K24" s="42" t="s">
        <v>3645</v>
      </c>
      <c r="L24" s="42" t="s">
        <v>3518</v>
      </c>
      <c r="M24" s="42" t="s">
        <v>3608</v>
      </c>
      <c r="N24" s="42" t="s">
        <v>3647</v>
      </c>
      <c r="O24" s="42" t="s">
        <v>3610</v>
      </c>
      <c r="P24" s="42" t="s">
        <v>3519</v>
      </c>
      <c r="Q24" s="42" t="s">
        <v>3612</v>
      </c>
      <c r="R24" s="42" t="s">
        <v>3614</v>
      </c>
      <c r="S24" s="42" t="s">
        <v>3616</v>
      </c>
      <c r="T24" s="42" t="s">
        <v>3618</v>
      </c>
      <c r="U24" s="42" t="s">
        <v>3620</v>
      </c>
      <c r="V24" s="42" t="s">
        <v>3622</v>
      </c>
      <c r="W24" s="42" t="s">
        <v>3624</v>
      </c>
      <c r="X24" s="42" t="s">
        <v>3626</v>
      </c>
      <c r="Y24" s="42" t="s">
        <v>3649</v>
      </c>
      <c r="Z24" s="42" t="s">
        <v>3628</v>
      </c>
      <c r="AH24" s="13" t="str">
        <f>Show!$B$55&amp;"SE.06.02.18.02 Rows {"&amp;COLUMN($B$1)&amp;"}"&amp;"@ForceFilingCode:true"</f>
        <v>!SE.06.02.18.02 Rows {2}@ForceFilingCode:true</v>
      </c>
      <c r="AI24" s="13" t="str">
        <f>Show!$B$55&amp;"SE.06.02.18.02 Columns {"&amp;COLUMN($B$1)&amp;"}"</f>
        <v>!SE.06.02.18.02 Columns {2}</v>
      </c>
    </row>
    <row r="25" spans="2:35">
      <c r="B25" s="50"/>
      <c r="C25" s="51"/>
      <c r="D25" s="51"/>
      <c r="E25" s="51"/>
      <c r="F25" s="51"/>
      <c r="G25" s="51"/>
      <c r="H25" s="51"/>
      <c r="I25" s="51"/>
      <c r="J25" s="51"/>
      <c r="K25" s="51"/>
      <c r="L25" s="51"/>
      <c r="M25" s="51"/>
      <c r="N25" s="51"/>
      <c r="O25" s="51"/>
      <c r="P25" s="51"/>
      <c r="Q25" s="51"/>
      <c r="R25" s="51"/>
      <c r="S25" s="51"/>
      <c r="T25" s="51"/>
      <c r="U25" s="51"/>
      <c r="V25" s="69"/>
      <c r="W25" s="60"/>
      <c r="X25" s="70"/>
      <c r="Y25" s="54"/>
      <c r="Z25" s="54"/>
    </row>
    <row r="27" spans="2:35">
      <c r="AH27" s="13" t="str">
        <f>Show!$B$55&amp;Show!$B$55&amp;"SE.06.02.18.02 Rows {"&amp;COLUMN($B$1)&amp;"}"</f>
        <v>!!SE.06.02.18.02 Rows {2}</v>
      </c>
      <c r="AI27" s="13" t="str">
        <f>Show!$B$55&amp;Show!$B$55&amp;"SE.06.02.18.02 Columns {"&amp;COLUMN($Z$1)&amp;"}"</f>
        <v>!!SE.06.02.18.02 Columns {26}</v>
      </c>
    </row>
  </sheetData>
  <sheetProtection sheet="1" objects="1" scenarios="1"/>
  <mergeCells count="10">
    <mergeCell ref="B17:L17"/>
    <mergeCell ref="B21:B23"/>
    <mergeCell ref="C21:Z22"/>
    <mergeCell ref="B2:O2"/>
    <mergeCell ref="B5:L5"/>
    <mergeCell ref="B9:B11"/>
    <mergeCell ref="C9:C11"/>
    <mergeCell ref="D9:D11"/>
    <mergeCell ref="E9:E11"/>
    <mergeCell ref="F9:S10"/>
  </mergeCells>
  <dataValidations count="19">
    <dataValidation type="list" errorStyle="warning" allowBlank="1" showInputMessage="1" showErrorMessage="1" sqref="F13" xr:uid="{C48E5153-1FF5-4613-B1B4-B2635398DB35}">
      <formula1>hier_PU_33</formula1>
    </dataValidation>
    <dataValidation type="list" errorStyle="warning" allowBlank="1" showInputMessage="1" showErrorMessage="1" sqref="G13" xr:uid="{1209730F-81B1-4655-900C-E7CD794DB576}">
      <formula1>hier_LB_4</formula1>
    </dataValidation>
    <dataValidation type="list" errorStyle="warning" allowBlank="1" showInputMessage="1" showErrorMessage="1" sqref="H13" xr:uid="{24D0936D-B878-4A68-9388-7F8A6DE128C8}">
      <formula1>hier_CG_2</formula1>
    </dataValidation>
    <dataValidation type="list" errorStyle="warning" allowBlank="1" showInputMessage="1" showErrorMessage="1" sqref="I13" xr:uid="{C1905919-E3C1-4C89-B5EA-BBB622E8BF09}">
      <formula1>hier_GA_1</formula1>
    </dataValidation>
    <dataValidation type="list" errorStyle="warning" allowBlank="1" showInputMessage="1" showErrorMessage="1" sqref="N13" xr:uid="{7B0E0902-0A7E-44A1-BE9E-8ED15DE60652}">
      <formula1>hier_VM_23</formula1>
    </dataValidation>
    <dataValidation type="list" errorStyle="warning" allowBlank="1" showInputMessage="1" showErrorMessage="1" sqref="R13" xr:uid="{089DF48E-FF54-4940-BB9E-8B750B65BB63}">
      <formula1>hier_PU_24</formula1>
    </dataValidation>
    <dataValidation type="list" errorStyle="warning" allowBlank="1" showInputMessage="1" showErrorMessage="1" sqref="S13" xr:uid="{E547940B-50E4-4C9C-AD9E-CE1F7BC49DB0}">
      <formula1>hier_PU_25</formula1>
    </dataValidation>
    <dataValidation type="list" errorStyle="warning" allowBlank="1" showInputMessage="1" showErrorMessage="1" sqref="F25" xr:uid="{C381EF8C-B974-4264-B5C3-BA9BC040382A}">
      <formula1>hier_NC_1</formula1>
    </dataValidation>
    <dataValidation type="list" errorStyle="warning" allowBlank="1" showInputMessage="1" showErrorMessage="1" sqref="G25" xr:uid="{30CC24DD-0CB0-4CE4-A508-930A34F35FBB}">
      <formula1>hier_SE_18</formula1>
    </dataValidation>
    <dataValidation type="list" errorStyle="warning" allowBlank="1" showInputMessage="1" showErrorMessage="1" sqref="J25" xr:uid="{541851BC-5702-418A-BB38-D98DE05645CB}">
      <formula1>hier_GA_4</formula1>
    </dataValidation>
    <dataValidation type="list" errorStyle="warning" allowBlank="1" showInputMessage="1" showErrorMessage="1" sqref="K25" xr:uid="{2A72664A-1354-49BF-856A-1A7E9ECBEA7B}">
      <formula1>hier_GA_18</formula1>
    </dataValidation>
    <dataValidation type="list" errorStyle="warning" allowBlank="1" showInputMessage="1" showErrorMessage="1" sqref="L25" xr:uid="{B4350132-E977-45C4-9052-0B79344108C0}">
      <formula1>hier_CU_1</formula1>
    </dataValidation>
    <dataValidation type="list" errorStyle="warning" allowBlank="1" showInputMessage="1" showErrorMessage="1" sqref="N25" xr:uid="{1AF2755A-D6DE-4643-9CE0-B73CFD22A673}">
      <formula1>hier_MC_48</formula1>
    </dataValidation>
    <dataValidation type="list" errorStyle="warning" allowBlank="1" showInputMessage="1" showErrorMessage="1" sqref="O25" xr:uid="{676A7C07-F8F1-4206-B66D-D0DE7EABB08B}">
      <formula1>hier_AP_23</formula1>
    </dataValidation>
    <dataValidation type="list" errorStyle="warning" allowBlank="1" showInputMessage="1" showErrorMessage="1" sqref="P25" xr:uid="{FDB4295E-B265-4E99-A4A3-37DB2B87DF1D}">
      <formula1>hier_MC_50</formula1>
    </dataValidation>
    <dataValidation type="list" errorStyle="warning" allowBlank="1" showInputMessage="1" showErrorMessage="1" sqref="Q25" xr:uid="{ADACB60E-5D8F-4F93-8A14-B312E8E00933}">
      <formula1>hier_PU_39</formula1>
    </dataValidation>
    <dataValidation type="list" errorStyle="warning" allowBlank="1" showInputMessage="1" showErrorMessage="1" sqref="S25" xr:uid="{08B65E4C-CCBB-4B3A-B7A7-4FDAB8987764}">
      <formula1>hier_SE_26</formula1>
    </dataValidation>
    <dataValidation type="list" errorStyle="warning" allowBlank="1" showInputMessage="1" showErrorMessage="1" sqref="T25" xr:uid="{5B199626-7FC1-41CA-AC99-3CDBD6A76C5D}">
      <formula1>hier_BR_4</formula1>
    </dataValidation>
    <dataValidation type="date" operator="greaterThan" allowBlank="1" showInputMessage="1" showErrorMessage="1" errorTitle="Date value" error="This cell can only contain dates" sqref="Y25:Z25" xr:uid="{E5450EFE-7221-4BA5-82B3-15E4E3035C2D}">
      <formula1>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0813E-FE52-4762-982D-3192D1CC743F}">
  <sheetPr codeName="Blad6"/>
  <dimension ref="B2:O87"/>
  <sheetViews>
    <sheetView showGridLines="0" workbookViewId="0"/>
  </sheetViews>
  <sheetFormatPr defaultRowHeight="15"/>
  <cols>
    <col min="2" max="2" width="85.42578125" bestFit="1" customWidth="1"/>
    <col min="4" max="4" width="40.7109375" customWidth="1"/>
  </cols>
  <sheetData>
    <row r="2" spans="2:15" ht="23.25">
      <c r="B2" s="86" t="s">
        <v>512</v>
      </c>
      <c r="C2" s="87"/>
      <c r="D2" s="87"/>
      <c r="E2" s="87"/>
      <c r="F2" s="87"/>
      <c r="G2" s="87"/>
      <c r="H2" s="87"/>
      <c r="I2" s="87"/>
      <c r="J2" s="87"/>
      <c r="K2" s="87"/>
      <c r="L2" s="87"/>
      <c r="M2" s="87"/>
      <c r="N2" s="87"/>
      <c r="O2" s="87"/>
    </row>
    <row r="5" spans="2:15" ht="18.75">
      <c r="B5" s="88" t="s">
        <v>2876</v>
      </c>
      <c r="C5" s="87"/>
      <c r="D5" s="87"/>
      <c r="E5" s="87"/>
      <c r="F5" s="87"/>
      <c r="G5" s="87"/>
      <c r="H5" s="87"/>
      <c r="I5" s="87"/>
      <c r="J5" s="87"/>
      <c r="K5" s="87"/>
      <c r="L5" s="87"/>
    </row>
    <row r="9" spans="2:15">
      <c r="D9" s="89" t="s">
        <v>2877</v>
      </c>
    </row>
    <row r="10" spans="2:15">
      <c r="D10" s="90"/>
    </row>
    <row r="11" spans="2:15">
      <c r="D11" s="90"/>
    </row>
    <row r="12" spans="2:15">
      <c r="D12" s="91"/>
    </row>
    <row r="13" spans="2:15">
      <c r="D13" s="45" t="s">
        <v>2879</v>
      </c>
      <c r="I13" s="13" t="str">
        <f>IF(COUNTIF(D:D,"Reported")&gt;0,Show!$B$2,"!")&amp;"S.01.01.01.01 Rows {"&amp;COLUMN($C$1)&amp;"}"&amp;"@ForceFilingCode:true"</f>
        <v>!S.01.01.01.01 Rows {3}@ForceFilingCode:true</v>
      </c>
      <c r="J13" s="13" t="str">
        <f>IF(COUNTIF(D:D,"Reported")&gt;0,Show!$B$2,"!")&amp;"S.01.01.01.01 Columns {"&amp;COLUMN($D$1)&amp;"}"</f>
        <v>!S.01.01.01.01 Columns {4}</v>
      </c>
    </row>
    <row r="14" spans="2:15">
      <c r="B14" s="43" t="s">
        <v>2880</v>
      </c>
      <c r="C14" s="44" t="s">
        <v>2878</v>
      </c>
      <c r="D14" s="48"/>
    </row>
    <row r="15" spans="2:15">
      <c r="B15" s="47" t="s">
        <v>2881</v>
      </c>
      <c r="C15" s="44" t="s">
        <v>2878</v>
      </c>
      <c r="D15" s="46"/>
    </row>
    <row r="16" spans="2:15">
      <c r="B16" s="52" t="s">
        <v>2882</v>
      </c>
      <c r="C16" s="41" t="s">
        <v>2883</v>
      </c>
      <c r="D16" s="51"/>
    </row>
    <row r="17" spans="2:4">
      <c r="B17" s="52" t="s">
        <v>2884</v>
      </c>
      <c r="C17" s="41" t="s">
        <v>2885</v>
      </c>
      <c r="D17" s="51"/>
    </row>
    <row r="18" spans="2:4">
      <c r="B18" s="52" t="s">
        <v>2886</v>
      </c>
      <c r="C18" s="41" t="s">
        <v>2887</v>
      </c>
      <c r="D18" s="51"/>
    </row>
    <row r="19" spans="2:4">
      <c r="B19" s="52" t="s">
        <v>2888</v>
      </c>
      <c r="C19" s="41" t="s">
        <v>2889</v>
      </c>
      <c r="D19" s="51"/>
    </row>
    <row r="20" spans="2:4">
      <c r="B20" s="52" t="s">
        <v>2890</v>
      </c>
      <c r="C20" s="41" t="s">
        <v>2891</v>
      </c>
      <c r="D20" s="51"/>
    </row>
    <row r="21" spans="2:4" ht="30">
      <c r="B21" s="52" t="s">
        <v>2892</v>
      </c>
      <c r="C21" s="41" t="s">
        <v>2893</v>
      </c>
      <c r="D21" s="51"/>
    </row>
    <row r="22" spans="2:4" ht="30">
      <c r="B22" s="52" t="s">
        <v>2894</v>
      </c>
      <c r="C22" s="41" t="s">
        <v>2895</v>
      </c>
      <c r="D22" s="51"/>
    </row>
    <row r="23" spans="2:4">
      <c r="B23" s="52" t="s">
        <v>2896</v>
      </c>
      <c r="C23" s="41" t="s">
        <v>2897</v>
      </c>
      <c r="D23" s="51"/>
    </row>
    <row r="24" spans="2:4" ht="30">
      <c r="B24" s="52" t="s">
        <v>2898</v>
      </c>
      <c r="C24" s="41" t="s">
        <v>2899</v>
      </c>
      <c r="D24" s="51"/>
    </row>
    <row r="25" spans="2:4">
      <c r="B25" s="52" t="s">
        <v>2900</v>
      </c>
      <c r="C25" s="41" t="s">
        <v>2901</v>
      </c>
      <c r="D25" s="51"/>
    </row>
    <row r="26" spans="2:4">
      <c r="B26" s="52" t="s">
        <v>2902</v>
      </c>
      <c r="C26" s="41" t="s">
        <v>2903</v>
      </c>
      <c r="D26" s="51"/>
    </row>
    <row r="27" spans="2:4">
      <c r="B27" s="52" t="s">
        <v>2904</v>
      </c>
      <c r="C27" s="41" t="s">
        <v>2905</v>
      </c>
      <c r="D27" s="51"/>
    </row>
    <row r="28" spans="2:4">
      <c r="B28" s="52" t="s">
        <v>2906</v>
      </c>
      <c r="C28" s="41" t="s">
        <v>2907</v>
      </c>
      <c r="D28" s="51"/>
    </row>
    <row r="29" spans="2:4">
      <c r="B29" s="52" t="s">
        <v>2908</v>
      </c>
      <c r="C29" s="41" t="s">
        <v>2909</v>
      </c>
      <c r="D29" s="51"/>
    </row>
    <row r="30" spans="2:4">
      <c r="B30" s="52" t="s">
        <v>2910</v>
      </c>
      <c r="C30" s="41" t="s">
        <v>2911</v>
      </c>
      <c r="D30" s="51"/>
    </row>
    <row r="31" spans="2:4">
      <c r="B31" s="52" t="s">
        <v>2912</v>
      </c>
      <c r="C31" s="41" t="s">
        <v>2913</v>
      </c>
      <c r="D31" s="51"/>
    </row>
    <row r="32" spans="2:4">
      <c r="B32" s="52" t="s">
        <v>2914</v>
      </c>
      <c r="C32" s="41" t="s">
        <v>2915</v>
      </c>
      <c r="D32" s="51"/>
    </row>
    <row r="33" spans="2:4">
      <c r="B33" s="52" t="s">
        <v>2916</v>
      </c>
      <c r="C33" s="41" t="s">
        <v>2917</v>
      </c>
      <c r="D33" s="51"/>
    </row>
    <row r="34" spans="2:4">
      <c r="B34" s="52" t="s">
        <v>2918</v>
      </c>
      <c r="C34" s="41" t="s">
        <v>2919</v>
      </c>
      <c r="D34" s="51"/>
    </row>
    <row r="35" spans="2:4">
      <c r="B35" s="52" t="s">
        <v>2920</v>
      </c>
      <c r="C35" s="41" t="s">
        <v>2921</v>
      </c>
      <c r="D35" s="51"/>
    </row>
    <row r="36" spans="2:4">
      <c r="B36" s="52" t="s">
        <v>2922</v>
      </c>
      <c r="C36" s="41" t="s">
        <v>2923</v>
      </c>
      <c r="D36" s="51"/>
    </row>
    <row r="37" spans="2:4">
      <c r="B37" s="52" t="s">
        <v>2924</v>
      </c>
      <c r="C37" s="41" t="s">
        <v>2925</v>
      </c>
      <c r="D37" s="51"/>
    </row>
    <row r="38" spans="2:4">
      <c r="B38" s="52" t="s">
        <v>2926</v>
      </c>
      <c r="C38" s="41" t="s">
        <v>2927</v>
      </c>
      <c r="D38" s="51"/>
    </row>
    <row r="39" spans="2:4">
      <c r="B39" s="52" t="s">
        <v>2928</v>
      </c>
      <c r="C39" s="41" t="s">
        <v>2929</v>
      </c>
      <c r="D39" s="51"/>
    </row>
    <row r="40" spans="2:4">
      <c r="B40" s="52" t="s">
        <v>2930</v>
      </c>
      <c r="C40" s="41" t="s">
        <v>2931</v>
      </c>
      <c r="D40" s="51"/>
    </row>
    <row r="41" spans="2:4">
      <c r="B41" s="52" t="s">
        <v>2932</v>
      </c>
      <c r="C41" s="41" t="s">
        <v>2933</v>
      </c>
      <c r="D41" s="51"/>
    </row>
    <row r="42" spans="2:4">
      <c r="B42" s="52" t="s">
        <v>2934</v>
      </c>
      <c r="C42" s="41" t="s">
        <v>2935</v>
      </c>
      <c r="D42" s="51"/>
    </row>
    <row r="43" spans="2:4">
      <c r="B43" s="52" t="s">
        <v>2936</v>
      </c>
      <c r="C43" s="41" t="s">
        <v>2937</v>
      </c>
      <c r="D43" s="51"/>
    </row>
    <row r="44" spans="2:4">
      <c r="B44" s="52" t="s">
        <v>2938</v>
      </c>
      <c r="C44" s="41" t="s">
        <v>2939</v>
      </c>
      <c r="D44" s="51"/>
    </row>
    <row r="45" spans="2:4">
      <c r="B45" s="52" t="s">
        <v>2940</v>
      </c>
      <c r="C45" s="41" t="s">
        <v>2941</v>
      </c>
      <c r="D45" s="51"/>
    </row>
    <row r="46" spans="2:4">
      <c r="B46" s="52" t="s">
        <v>2942</v>
      </c>
      <c r="C46" s="41" t="s">
        <v>2943</v>
      </c>
      <c r="D46" s="51"/>
    </row>
    <row r="47" spans="2:4">
      <c r="B47" s="52" t="s">
        <v>2944</v>
      </c>
      <c r="C47" s="41" t="s">
        <v>2945</v>
      </c>
      <c r="D47" s="51"/>
    </row>
    <row r="48" spans="2:4">
      <c r="B48" s="52" t="s">
        <v>2946</v>
      </c>
      <c r="C48" s="41" t="s">
        <v>2947</v>
      </c>
      <c r="D48" s="51"/>
    </row>
    <row r="49" spans="2:4">
      <c r="B49" s="52" t="s">
        <v>2948</v>
      </c>
      <c r="C49" s="41" t="s">
        <v>2949</v>
      </c>
      <c r="D49" s="51"/>
    </row>
    <row r="50" spans="2:4">
      <c r="B50" s="52" t="s">
        <v>2950</v>
      </c>
      <c r="C50" s="41" t="s">
        <v>2951</v>
      </c>
      <c r="D50" s="51"/>
    </row>
    <row r="51" spans="2:4">
      <c r="B51" s="52" t="s">
        <v>2952</v>
      </c>
      <c r="C51" s="41" t="s">
        <v>2953</v>
      </c>
      <c r="D51" s="51"/>
    </row>
    <row r="52" spans="2:4">
      <c r="B52" s="52" t="s">
        <v>2954</v>
      </c>
      <c r="C52" s="41" t="s">
        <v>2955</v>
      </c>
      <c r="D52" s="51"/>
    </row>
    <row r="53" spans="2:4">
      <c r="B53" s="52" t="s">
        <v>2956</v>
      </c>
      <c r="C53" s="41" t="s">
        <v>2957</v>
      </c>
      <c r="D53" s="51"/>
    </row>
    <row r="54" spans="2:4">
      <c r="B54" s="52" t="s">
        <v>2958</v>
      </c>
      <c r="C54" s="41" t="s">
        <v>2959</v>
      </c>
      <c r="D54" s="51"/>
    </row>
    <row r="55" spans="2:4">
      <c r="B55" s="52" t="s">
        <v>2960</v>
      </c>
      <c r="C55" s="41" t="s">
        <v>2961</v>
      </c>
      <c r="D55" s="51"/>
    </row>
    <row r="56" spans="2:4">
      <c r="B56" s="52" t="s">
        <v>2962</v>
      </c>
      <c r="C56" s="41" t="s">
        <v>2963</v>
      </c>
      <c r="D56" s="51"/>
    </row>
    <row r="57" spans="2:4">
      <c r="B57" s="52" t="s">
        <v>2964</v>
      </c>
      <c r="C57" s="41" t="s">
        <v>2965</v>
      </c>
      <c r="D57" s="51"/>
    </row>
    <row r="58" spans="2:4">
      <c r="B58" s="52" t="s">
        <v>2966</v>
      </c>
      <c r="C58" s="41" t="s">
        <v>2967</v>
      </c>
      <c r="D58" s="51"/>
    </row>
    <row r="59" spans="2:4">
      <c r="B59" s="52" t="s">
        <v>2968</v>
      </c>
      <c r="C59" s="41" t="s">
        <v>2969</v>
      </c>
      <c r="D59" s="51"/>
    </row>
    <row r="60" spans="2:4">
      <c r="B60" s="52" t="s">
        <v>2970</v>
      </c>
      <c r="C60" s="41" t="s">
        <v>2971</v>
      </c>
      <c r="D60" s="51"/>
    </row>
    <row r="61" spans="2:4" ht="30">
      <c r="B61" s="52" t="s">
        <v>2972</v>
      </c>
      <c r="C61" s="41" t="s">
        <v>2973</v>
      </c>
      <c r="D61" s="51"/>
    </row>
    <row r="62" spans="2:4">
      <c r="B62" s="52" t="s">
        <v>2974</v>
      </c>
      <c r="C62" s="41" t="s">
        <v>2975</v>
      </c>
      <c r="D62" s="51"/>
    </row>
    <row r="63" spans="2:4">
      <c r="B63" s="52" t="s">
        <v>2976</v>
      </c>
      <c r="C63" s="41" t="s">
        <v>2977</v>
      </c>
      <c r="D63" s="51"/>
    </row>
    <row r="64" spans="2:4">
      <c r="B64" s="52" t="s">
        <v>2978</v>
      </c>
      <c r="C64" s="41" t="s">
        <v>2979</v>
      </c>
      <c r="D64" s="51"/>
    </row>
    <row r="65" spans="2:4">
      <c r="B65" s="52" t="s">
        <v>2980</v>
      </c>
      <c r="C65" s="41" t="s">
        <v>2981</v>
      </c>
      <c r="D65" s="51"/>
    </row>
    <row r="66" spans="2:4">
      <c r="B66" s="52" t="s">
        <v>2982</v>
      </c>
      <c r="C66" s="41" t="s">
        <v>2983</v>
      </c>
      <c r="D66" s="51"/>
    </row>
    <row r="67" spans="2:4">
      <c r="B67" s="52" t="s">
        <v>2984</v>
      </c>
      <c r="C67" s="41" t="s">
        <v>2985</v>
      </c>
      <c r="D67" s="51"/>
    </row>
    <row r="68" spans="2:4">
      <c r="B68" s="52" t="s">
        <v>2986</v>
      </c>
      <c r="C68" s="41" t="s">
        <v>2987</v>
      </c>
      <c r="D68" s="51"/>
    </row>
    <row r="69" spans="2:4">
      <c r="B69" s="52" t="s">
        <v>2988</v>
      </c>
      <c r="C69" s="41" t="s">
        <v>2989</v>
      </c>
      <c r="D69" s="51"/>
    </row>
    <row r="70" spans="2:4">
      <c r="B70" s="52" t="s">
        <v>2990</v>
      </c>
      <c r="C70" s="41" t="s">
        <v>2991</v>
      </c>
      <c r="D70" s="51"/>
    </row>
    <row r="71" spans="2:4" ht="30">
      <c r="B71" s="52" t="s">
        <v>2992</v>
      </c>
      <c r="C71" s="41" t="s">
        <v>2993</v>
      </c>
      <c r="D71" s="51"/>
    </row>
    <row r="72" spans="2:4">
      <c r="B72" s="52" t="s">
        <v>2994</v>
      </c>
      <c r="C72" s="41" t="s">
        <v>2995</v>
      </c>
      <c r="D72" s="51"/>
    </row>
    <row r="73" spans="2:4">
      <c r="B73" s="52" t="s">
        <v>2996</v>
      </c>
      <c r="C73" s="41" t="s">
        <v>2997</v>
      </c>
      <c r="D73" s="51"/>
    </row>
    <row r="74" spans="2:4" ht="30">
      <c r="B74" s="52" t="s">
        <v>2998</v>
      </c>
      <c r="C74" s="41" t="s">
        <v>2999</v>
      </c>
      <c r="D74" s="51"/>
    </row>
    <row r="75" spans="2:4">
      <c r="B75" s="52" t="s">
        <v>3000</v>
      </c>
      <c r="C75" s="41" t="s">
        <v>3001</v>
      </c>
      <c r="D75" s="51"/>
    </row>
    <row r="76" spans="2:4">
      <c r="B76" s="52" t="s">
        <v>3002</v>
      </c>
      <c r="C76" s="41" t="s">
        <v>3003</v>
      </c>
      <c r="D76" s="51"/>
    </row>
    <row r="77" spans="2:4">
      <c r="B77" s="52" t="s">
        <v>3004</v>
      </c>
      <c r="C77" s="41" t="s">
        <v>3005</v>
      </c>
      <c r="D77" s="51"/>
    </row>
    <row r="78" spans="2:4">
      <c r="B78" s="52" t="s">
        <v>3006</v>
      </c>
      <c r="C78" s="41" t="s">
        <v>3007</v>
      </c>
      <c r="D78" s="51"/>
    </row>
    <row r="79" spans="2:4">
      <c r="B79" s="52" t="s">
        <v>3008</v>
      </c>
      <c r="C79" s="41" t="s">
        <v>3009</v>
      </c>
      <c r="D79" s="51"/>
    </row>
    <row r="80" spans="2:4">
      <c r="B80" s="52" t="s">
        <v>3010</v>
      </c>
      <c r="C80" s="41" t="s">
        <v>3011</v>
      </c>
      <c r="D80" s="51"/>
    </row>
    <row r="81" spans="2:10">
      <c r="B81" s="52" t="s">
        <v>3012</v>
      </c>
      <c r="C81" s="41" t="s">
        <v>3013</v>
      </c>
      <c r="D81" s="51"/>
    </row>
    <row r="82" spans="2:10">
      <c r="B82" s="52" t="s">
        <v>3014</v>
      </c>
      <c r="C82" s="41" t="s">
        <v>3015</v>
      </c>
      <c r="D82" s="51"/>
    </row>
    <row r="83" spans="2:10">
      <c r="B83" s="52" t="s">
        <v>3016</v>
      </c>
      <c r="C83" s="41" t="s">
        <v>3017</v>
      </c>
      <c r="D83" s="51"/>
    </row>
    <row r="84" spans="2:10">
      <c r="B84" s="52" t="s">
        <v>3018</v>
      </c>
      <c r="C84" s="41" t="s">
        <v>3019</v>
      </c>
      <c r="D84" s="51"/>
    </row>
    <row r="85" spans="2:10">
      <c r="B85" s="52" t="s">
        <v>3020</v>
      </c>
      <c r="C85" s="41" t="s">
        <v>3021</v>
      </c>
      <c r="D85" s="51"/>
    </row>
    <row r="86" spans="2:10">
      <c r="B86" s="52" t="s">
        <v>3022</v>
      </c>
      <c r="C86" s="41" t="s">
        <v>3023</v>
      </c>
      <c r="D86" s="51"/>
    </row>
    <row r="87" spans="2:10">
      <c r="I87" s="13" t="str">
        <f>IF(COUNTIF(D:D,"Reported")&gt;0,Show!$B$2&amp;Show!$B$2,"!!")&amp;"S.01.01.01.01 Rows {"&amp;COLUMN($C$1)&amp;"}"</f>
        <v>!!S.01.01.01.01 Rows {3}</v>
      </c>
      <c r="J87" s="13" t="str">
        <f>IF(COUNTIF(D:D,"Reported")&gt;0,Show!$B$2&amp;Show!$B$2,"!!")&amp;"S.01.01.01.01 Columns {"&amp;COLUMN($D$1)&amp;"}"</f>
        <v>!!S.01.01.01.01 Columns {4}</v>
      </c>
    </row>
  </sheetData>
  <sheetProtection sheet="1" objects="1" scenarios="1"/>
  <mergeCells count="3">
    <mergeCell ref="B2:O2"/>
    <mergeCell ref="B5:L5"/>
    <mergeCell ref="D9:D12"/>
  </mergeCells>
  <dataValidations count="49">
    <dataValidation type="list" errorStyle="warning" allowBlank="1" showInputMessage="1" showErrorMessage="1" sqref="D16" xr:uid="{317EC25B-40FF-46A2-BDF1-E641AE093E7D}">
      <formula1>hier_CN_2</formula1>
    </dataValidation>
    <dataValidation type="list" errorStyle="warning" allowBlank="1" showInputMessage="1" showErrorMessage="1" sqref="D17" xr:uid="{612F8BCE-C351-4324-A9D1-E4E469D39DF3}">
      <formula1>hier_CN_14</formula1>
    </dataValidation>
    <dataValidation type="list" errorStyle="warning" allowBlank="1" showInputMessage="1" showErrorMessage="1" sqref="D18" xr:uid="{1AC1CF5C-EC8F-41BD-B9B5-E08827FF601A}">
      <formula1>hier_CN_81</formula1>
    </dataValidation>
    <dataValidation type="list" errorStyle="warning" allowBlank="1" showInputMessage="1" showErrorMessage="1" sqref="D19" xr:uid="{054F0F1E-D757-42B9-AC33-CA83F719A2D7}">
      <formula1>hier_CN_18</formula1>
    </dataValidation>
    <dataValidation type="list" errorStyle="warning" allowBlank="1" showInputMessage="1" showErrorMessage="1" sqref="D20" xr:uid="{3DBCCB08-4832-47F1-B23F-006302D30B21}">
      <formula1>hier_CN_20</formula1>
    </dataValidation>
    <dataValidation type="list" errorStyle="warning" allowBlank="1" showInputMessage="1" showErrorMessage="1" sqref="D21" xr:uid="{967F9597-955E-485A-8239-4B617BB533E8}">
      <formula1>hier_CN_34</formula1>
    </dataValidation>
    <dataValidation type="list" errorStyle="warning" allowBlank="1" showInputMessage="1" showErrorMessage="1" sqref="D22" xr:uid="{8FBB0445-32BA-4091-8FA5-1D936660B27C}">
      <formula1>hier_CN_35</formula1>
    </dataValidation>
    <dataValidation type="list" errorStyle="warning" allowBlank="1" showInputMessage="1" showErrorMessage="1" sqref="D23" xr:uid="{119A0438-878A-470F-BB3E-23BD0DCEF25B}">
      <formula1>hier_CN_36</formula1>
    </dataValidation>
    <dataValidation type="list" errorStyle="warning" allowBlank="1" showInputMessage="1" showErrorMessage="1" sqref="D24" xr:uid="{03239312-AC45-4E45-88FD-F6407CC365FF}">
      <formula1>hier_CN_37</formula1>
    </dataValidation>
    <dataValidation type="list" errorStyle="warning" allowBlank="1" showInputMessage="1" showErrorMessage="1" sqref="D25 D55" xr:uid="{37E0650C-901E-4F30-A249-3ED1D432481C}">
      <formula1>hier_CN_113</formula1>
    </dataValidation>
    <dataValidation type="list" errorStyle="warning" allowBlank="1" showInputMessage="1" showErrorMessage="1" sqref="D26" xr:uid="{CD62D6E1-9F00-47E8-BA43-B5E116301204}">
      <formula1>hier_CN_116</formula1>
    </dataValidation>
    <dataValidation type="list" errorStyle="warning" allowBlank="1" showInputMessage="1" showErrorMessage="1" sqref="D27" xr:uid="{662915A8-52EE-45EC-93C9-F43FCC50567D}">
      <formula1>hier_CN_27</formula1>
    </dataValidation>
    <dataValidation type="list" errorStyle="warning" allowBlank="1" showInputMessage="1" showErrorMessage="1" sqref="D28" xr:uid="{1F1CF812-DBC9-4135-A218-E71A34349B0F}">
      <formula1>hier_CN_23</formula1>
    </dataValidation>
    <dataValidation type="list" errorStyle="warning" allowBlank="1" showInputMessage="1" showErrorMessage="1" sqref="D29" xr:uid="{23950E9B-46C4-40D9-BB89-32B1150057D5}">
      <formula1>hier_CN_117</formula1>
    </dataValidation>
    <dataValidation type="list" errorStyle="warning" allowBlank="1" showInputMessage="1" showErrorMessage="1" sqref="D30" xr:uid="{273977B9-45C2-442B-A4E1-8BBF87E5CCD4}">
      <formula1>hier_CN_120</formula1>
    </dataValidation>
    <dataValidation type="list" errorStyle="warning" allowBlank="1" showInputMessage="1" showErrorMessage="1" sqref="D31 D32" xr:uid="{EC7DA74B-F4ED-428D-938E-7F62CF400A2B}">
      <formula1>hier_CN_28</formula1>
    </dataValidation>
    <dataValidation type="list" errorStyle="warning" allowBlank="1" showInputMessage="1" showErrorMessage="1" sqref="D33 D73 D74 D75 D76" xr:uid="{20F09DF9-FA00-492A-A0D4-82F35214BA22}">
      <formula1>hier_CN_15</formula1>
    </dataValidation>
    <dataValidation type="list" errorStyle="warning" allowBlank="1" showInputMessage="1" showErrorMessage="1" sqref="D34" xr:uid="{F7E54283-2B69-4C76-B164-2FFB652C26F4}">
      <formula1>hier_CN_39</formula1>
    </dataValidation>
    <dataValidation type="list" errorStyle="warning" allowBlank="1" showInputMessage="1" showErrorMessage="1" sqref="D35" xr:uid="{92B27C3E-8996-4B67-8FB8-49E65DA123B2}">
      <formula1>hier_CN_40</formula1>
    </dataValidation>
    <dataValidation type="list" errorStyle="warning" allowBlank="1" showInputMessage="1" showErrorMessage="1" sqref="D36" xr:uid="{9A53535B-25D6-4712-894F-3EB55F234562}">
      <formula1>hier_CN_83</formula1>
    </dataValidation>
    <dataValidation type="list" errorStyle="warning" allowBlank="1" showInputMessage="1" showErrorMessage="1" sqref="D37" xr:uid="{C4E34240-E1C2-4EB9-8509-914A00F55E5F}">
      <formula1>hier_CN_31</formula1>
    </dataValidation>
    <dataValidation type="list" errorStyle="warning" allowBlank="1" showInputMessage="1" showErrorMessage="1" sqref="D38 D39" xr:uid="{801FA6F2-4C80-412D-86F8-611F5559F07C}">
      <formula1>hier_CN_30</formula1>
    </dataValidation>
    <dataValidation type="list" errorStyle="warning" allowBlank="1" showInputMessage="1" showErrorMessage="1" sqref="D40 D41" xr:uid="{B049420D-2AE4-4191-B4A1-8657FFD785C1}">
      <formula1>hier_CN_41</formula1>
    </dataValidation>
    <dataValidation type="list" errorStyle="warning" allowBlank="1" showInputMessage="1" showErrorMessage="1" sqref="D42" xr:uid="{F8D02C5A-D371-4660-8C73-F1D8546666AD}">
      <formula1>hier_CN_42</formula1>
    </dataValidation>
    <dataValidation type="list" errorStyle="warning" allowBlank="1" showInputMessage="1" showErrorMessage="1" sqref="D43" xr:uid="{AD643B7B-F249-431B-9232-48646B27BDB6}">
      <formula1>hier_CN_84</formula1>
    </dataValidation>
    <dataValidation type="list" errorStyle="warning" allowBlank="1" showInputMessage="1" showErrorMessage="1" sqref="D44" xr:uid="{096083DD-F21B-46D7-B454-AC6C627B7284}">
      <formula1>hier_CN_33</formula1>
    </dataValidation>
    <dataValidation type="list" errorStyle="warning" allowBlank="1" showInputMessage="1" showErrorMessage="1" sqref="D45 D46" xr:uid="{69210D07-23BE-4F3F-948B-70A083B11376}">
      <formula1>hier_CN_32</formula1>
    </dataValidation>
    <dataValidation type="list" errorStyle="warning" allowBlank="1" showInputMessage="1" showErrorMessage="1" sqref="D47 D48 D49 D50" xr:uid="{60667CF8-15C9-44B0-99DD-25355A27745C}">
      <formula1>hier_CN_123</formula1>
    </dataValidation>
    <dataValidation type="list" errorStyle="warning" allowBlank="1" showInputMessage="1" showErrorMessage="1" sqref="D51" xr:uid="{44F19F73-38F5-4814-8D93-2C7DF8592B40}">
      <formula1>hier_CN_43</formula1>
    </dataValidation>
    <dataValidation type="list" errorStyle="warning" allowBlank="1" showInputMessage="1" showErrorMessage="1" sqref="D52 D53" xr:uid="{D53E4744-E785-416E-90B6-CF9255C105DC}">
      <formula1>hier_CN_45</formula1>
    </dataValidation>
    <dataValidation type="list" errorStyle="warning" allowBlank="1" showInputMessage="1" showErrorMessage="1" sqref="D54" xr:uid="{6E2722EF-479E-4C68-A405-815204F30FC7}">
      <formula1>hier_CN_112</formula1>
    </dataValidation>
    <dataValidation type="list" errorStyle="warning" allowBlank="1" showInputMessage="1" showErrorMessage="1" sqref="D56 D57 D58" xr:uid="{AB44A0FD-5C42-494F-A0FB-0A4F9A810DB4}">
      <formula1>hier_CN_1</formula1>
    </dataValidation>
    <dataValidation type="list" errorStyle="warning" allowBlank="1" showInputMessage="1" showErrorMessage="1" sqref="D59" xr:uid="{3FFB0F01-3CB6-4C54-9F3A-DA0EFA74A325}">
      <formula1>hier_CN_46</formula1>
    </dataValidation>
    <dataValidation type="list" errorStyle="warning" allowBlank="1" showInputMessage="1" showErrorMessage="1" sqref="D60" xr:uid="{95F5A69A-9C39-4C6B-B272-68C351C158DE}">
      <formula1>hier_CN_108</formula1>
    </dataValidation>
    <dataValidation type="list" errorStyle="warning" allowBlank="1" showInputMessage="1" showErrorMessage="1" sqref="D61" xr:uid="{DAB5D6FD-28E3-4A86-A413-FC19E8889B19}">
      <formula1>hier_CN_8</formula1>
    </dataValidation>
    <dataValidation type="list" errorStyle="warning" allowBlank="1" showInputMessage="1" showErrorMessage="1" sqref="D62" xr:uid="{05D54991-DFDC-40C6-B0B8-6047627A8937}">
      <formula1>hier_CN_9</formula1>
    </dataValidation>
    <dataValidation type="list" errorStyle="warning" allowBlank="1" showInputMessage="1" showErrorMessage="1" sqref="D63 D64 D65 D66 D67" xr:uid="{DC027AB1-82BF-438A-A877-85AA2478C57F}">
      <formula1>hier_CN_124</formula1>
    </dataValidation>
    <dataValidation type="list" errorStyle="warning" allowBlank="1" showInputMessage="1" showErrorMessage="1" sqref="D68" xr:uid="{7004439F-AF26-42BC-8D71-072D19580E3B}">
      <formula1>hier_CN_53</formula1>
    </dataValidation>
    <dataValidation type="list" errorStyle="warning" allowBlank="1" showInputMessage="1" showErrorMessage="1" sqref="D69" xr:uid="{0FD4EDD5-B260-4B9C-9A64-5B0FF2021A8E}">
      <formula1>hier_CN_55</formula1>
    </dataValidation>
    <dataValidation type="list" errorStyle="warning" allowBlank="1" showInputMessage="1" showErrorMessage="1" sqref="D70" xr:uid="{CF0FFF12-FCCD-4367-B86C-E3F3480CBE74}">
      <formula1>hier_CN_51</formula1>
    </dataValidation>
    <dataValidation type="list" errorStyle="warning" allowBlank="1" showInputMessage="1" showErrorMessage="1" sqref="D71" xr:uid="{044984D0-9F19-45EC-9392-7DE1555F691B}">
      <formula1>hier_CN_85</formula1>
    </dataValidation>
    <dataValidation type="list" errorStyle="warning" allowBlank="1" showInputMessage="1" showErrorMessage="1" sqref="D72" xr:uid="{A81D1319-97D8-4D69-9761-ED088905C210}">
      <formula1>hier_CN_86</formula1>
    </dataValidation>
    <dataValidation type="list" errorStyle="warning" allowBlank="1" showInputMessage="1" showErrorMessage="1" sqref="D77 D78" xr:uid="{5B9B2D56-C3E4-47EC-B104-7CD0710F4FD9}">
      <formula1>hier_CN_57</formula1>
    </dataValidation>
    <dataValidation type="list" errorStyle="warning" allowBlank="1" showInputMessage="1" showErrorMessage="1" sqref="D79 D80 D81" xr:uid="{7023777B-A02E-4DE5-9AB4-E8C8F3C58B7D}">
      <formula1>hier_CN_58</formula1>
    </dataValidation>
    <dataValidation type="list" errorStyle="warning" allowBlank="1" showInputMessage="1" showErrorMessage="1" sqref="D82" xr:uid="{ECF485C5-D9DA-4019-920B-7F161550D6FE}">
      <formula1>hier_CN_59</formula1>
    </dataValidation>
    <dataValidation type="list" errorStyle="warning" allowBlank="1" showInputMessage="1" showErrorMessage="1" sqref="D83" xr:uid="{6FF7F657-6F93-490C-B4B5-14B2201BDAC0}">
      <formula1>hier_CN_60</formula1>
    </dataValidation>
    <dataValidation type="list" errorStyle="warning" allowBlank="1" showInputMessage="1" showErrorMessage="1" sqref="D84" xr:uid="{8960E8DC-91A3-4EA1-80EC-FD9685E53618}">
      <formula1>hier_CN_62</formula1>
    </dataValidation>
    <dataValidation type="list" errorStyle="warning" allowBlank="1" showInputMessage="1" showErrorMessage="1" sqref="D85" xr:uid="{8528CE26-D29C-42C6-859D-D7DE58EF46F8}">
      <formula1>hier_CN_64</formula1>
    </dataValidation>
    <dataValidation type="list" errorStyle="warning" allowBlank="1" showInputMessage="1" showErrorMessage="1" sqref="D86" xr:uid="{FBE1CA3B-F14A-4529-BD15-36D84F48AC6F}">
      <formula1>hier_CN_66</formula1>
    </dataValidation>
  </dataValidations>
  <hyperlinks>
    <hyperlink ref="B16" location="'S.01.02.01'!A1" display="S.01.02.01 - Basic Information - General" xr:uid="{A311167D-E62C-4166-A118-9A989BF6B32E}"/>
    <hyperlink ref="B17" location="'S.01.03.01'!A1" display="S.01.03.01 - Basic Information - RFF and matching adjustment portfolios" xr:uid="{AD475D1D-C92C-4F99-B6BB-66030A58354D}"/>
    <hyperlink ref="B18" location="'S.02.01.01'!A1" display="S.02.01.01 - Balance sheet" xr:uid="{981ACC8B-1581-476C-919A-E7E6940B31B7}"/>
    <hyperlink ref="B19" location="'S.02.02.01'!A1" display="S.02.02.01 - Assets and liabilities by currency" xr:uid="{4A20772F-C9AB-4F31-B083-D34673BC9A6C}"/>
    <hyperlink ref="B20" location="'S.03.01.01'!A1" display="S.03.01.01 - Off-balance sheet items - general" xr:uid="{308756C8-29B2-44B1-9440-6C8F532D48B4}"/>
    <hyperlink ref="B21" location="'S.03.02.01'!A1" display="S.03.02.01 - Off-balance sheet items - List of unlimited guarantees received by the undertaking" xr:uid="{FC659677-ECD4-45B9-8688-4D49B2AD1A0B}"/>
    <hyperlink ref="B22" location="'S.03.03.01'!A1" display="S.03.03.01 - Off-balance sheet items - List of unlimited guarantees provided by the undertaking" xr:uid="{A731BDD2-702A-4318-A2CF-F9C7E71777A2}"/>
    <hyperlink ref="B23" location="'S.04.01.01'!A1" display="S.04.01.01 - Activity by country" xr:uid="{8E2C4287-93DB-4623-BAFD-D8A441A04134}"/>
    <hyperlink ref="B24" location="'S.04.02.01'!A1" display="S.04.02.01 - Information on class 10 in Part A of Annex I of Solvency II Directive, excluding carrier's liability" xr:uid="{D3E53AFA-1FB1-4D04-98F7-047266E68A75}"/>
    <hyperlink ref="B25" location="'S.05.01.01'!A1" display="S.05.01.01 - Premiums, claims and expenses by line of business" xr:uid="{6F8C9583-B72C-422D-9207-C8B34DECD642}"/>
    <hyperlink ref="B26" location="'S.05.02.01'!A1" display="S.05.02.01 - Premiums, claims and expenses by country" xr:uid="{AB277D97-ADEA-4827-860A-CA4F7F439687}"/>
    <hyperlink ref="B27" location="'S.06.01.01'!A1" display="S.06.01.01 - Summary of assets" xr:uid="{AE7B29C4-6F18-41B2-B187-69A09C126F40}"/>
    <hyperlink ref="B28" location="'S.06.02.01'!A1" display="S.06.02.01 - List of assets" xr:uid="{A2985AAE-5221-4B07-B9DB-348DD12BA4A8}"/>
    <hyperlink ref="B29" location="'S.06.03.01'!A1" display="S.06.03.01 - Collective investment undertakings - look-through approach" xr:uid="{2F2454E1-7CAF-4019-8E98-DF37835E7A5C}"/>
    <hyperlink ref="B30" location="'S.07.01.01'!A1" display="S.07.01.01 - Structured products" xr:uid="{9A69482C-5B50-4B72-9061-F986D16FA43D}"/>
    <hyperlink ref="B31" location="'S.08.01.01'!A1" display="S.08.01.01 - Open derivatives" xr:uid="{226C6402-9D10-460C-ADB4-F782D5D8839C}"/>
    <hyperlink ref="B32" location="'S.08.02.01'!A1" display="S.08.02.01 - Derivatives Transactions" xr:uid="{1380B9ED-D962-45C0-A1F2-E9F4CEB05E02}"/>
    <hyperlink ref="B33" location="'S.09.01.01'!A1" display="S.09.01.01 - Income/gains and losses in the period" xr:uid="{7311D75E-495C-48B4-90D7-B8FDD2403285}"/>
    <hyperlink ref="B34" location="'S.10.01.01'!A1" display="S.10.01.01 - Securities lending and repos" xr:uid="{E417CD8E-AD3B-4154-8FEA-C2CB54B66657}"/>
    <hyperlink ref="B35" location="'S.11.01.01'!A1" display="S.11.01.01 - Assets held as collateral" xr:uid="{0172A090-0F30-47B2-B03A-C9C0C3D683AF}"/>
    <hyperlink ref="B36" location="'S.12.01.01'!A1" display="S.12.01.01 - Life and Health SLT Technical Provisions" xr:uid="{798E12E7-FEAB-45EF-8791-D5D0B62286EF}"/>
    <hyperlink ref="B37" location="'S.12.02.01'!A1" display="S.12.02.01 - Life and Health SLT Technical Provisions - by country" xr:uid="{73D463DA-E4BC-4729-88B9-ED8EF5C701DF}"/>
    <hyperlink ref="B38" location="'S.13.01.01'!A1" display="S.13.01.01 - Projection of future gross cash flows" xr:uid="{28395E22-14B5-4B30-A333-EF1791A67E23}"/>
    <hyperlink ref="B39" location="'S.14.01.01'!A1" display="S.14.01.01 - Life obligations analysis" xr:uid="{40A677D4-AB46-40EC-9AB0-FBA2ACA23AD3}"/>
    <hyperlink ref="B40" location="'S.15.01.01'!A1" display="S.15.01.01 - Description of the guarantees of variable annuities" xr:uid="{FEBC90C9-C39E-44A5-B9B3-6F20645BE058}"/>
    <hyperlink ref="B41" location="'S.15.02.01'!A1" display="S.15.02.01 - Hedging of guarantees of variable annuities" xr:uid="{8E2A37F8-F9AC-476B-8666-987E59F4A47C}"/>
    <hyperlink ref="B42" location="'S.16.01.01'!A1" display="S.16.01.01 - Information on annuities stemming from Non-Life Insurance obligations" xr:uid="{5386A661-526E-4F6B-9BB0-A59A89A99A1F}"/>
    <hyperlink ref="B43" location="'S.17.01.01'!A1" display="S.17.01.01 - Non-Life Technical Provisions" xr:uid="{89B68BE8-3036-4A14-BA54-C6F350904F2D}"/>
    <hyperlink ref="B44" location="'S.17.02.01'!A1" display="S.17.02.01 - Non-Life Technical Provisions - By country" xr:uid="{0948D356-FFEE-4668-9DA4-7691121813E0}"/>
    <hyperlink ref="B45" location="'S.18.01.01'!A1" display="S.18.01.01 - Projection of future cash flows (Best Estimate - Non Life)" xr:uid="{9798A538-3EDB-414B-BD77-A8B8DFADD062}"/>
    <hyperlink ref="B46" location="'S.19.01.01'!A1" display="S.19.01.01 - Non-life insurance claims" xr:uid="{7E42538F-D549-41FC-B1F4-898D1E4BA155}"/>
    <hyperlink ref="B47" location="'S.20.01.01'!A1" display="S.20.01.01 - Development of the distribution of the claims incurred" xr:uid="{5E616CF5-BA82-4167-9E0A-12181E96DD65}"/>
    <hyperlink ref="B48" location="'S.21.01.01'!A1" display="S.21.01.01 - Loss distribution risk profile" xr:uid="{45F9D287-928B-4D4E-8AAD-D36ACD721657}"/>
    <hyperlink ref="B49" location="'S.21.02.01'!A1" display="S.21.02.01 - Underwriting risks non-life" xr:uid="{8F32B6D1-A5E9-46D4-A220-7BE1844E3688}"/>
    <hyperlink ref="B50" location="'S.21.03.01'!A1" display="S.21.03.01 - Non-life distribution of underwriting risks - by sum insured" xr:uid="{0ABA5E0F-EB88-425A-9278-9219B5A3C6A3}"/>
    <hyperlink ref="B51" location="'S.22.01.01'!A1" display="S.22.01.01 - Impact of long term guarantees measures and transitionals" xr:uid="{6FE9098F-BB3D-4CFD-B18E-134028DDD348}"/>
    <hyperlink ref="B52" location="'S.22.04.01'!A1" display="S.22.04.01 - Information on the transitional on interest rates calculation" xr:uid="{9BD8D23B-E249-4D44-AE3C-8D32F69A546F}"/>
    <hyperlink ref="B53" location="'S.22.05.01'!A1" display="S.22.05.01 - Overall calculation of the transitional on technical provisions" xr:uid="{10D06AE7-E949-4395-84BD-B8C80DBB5CC0}"/>
    <hyperlink ref="B54" location="'S.22.06.01'!A1" display="S.22.06.01 - Best estimate subject to volatility adjustment by country and currency" xr:uid="{01B71CAB-5679-46F4-A30F-842ED1C2CBC4}"/>
    <hyperlink ref="B55" location="'S.23.01.01'!A1" display="S.23.01.01 - Own funds" xr:uid="{2A470030-FDFD-4859-9926-71D80122BE91}"/>
    <hyperlink ref="B56" location="'S.23.02.01'!A1" display="S.23.02.01 - Detailed information by tiers on own funds" xr:uid="{A339379F-F384-4ACA-B2FF-773452C46547}"/>
    <hyperlink ref="B57" location="'S.23.03.01'!A1" display="S.23.03.01 - Annual movements on own funds" xr:uid="{0290D7D8-7E4A-4866-9621-B947B61EA685}"/>
    <hyperlink ref="B58" location="'S.23.04.01'!A1" display="S.23.04.01 - List of items on own funds" xr:uid="{A5FA5945-FA3D-490F-B7CE-739D457EB697}"/>
    <hyperlink ref="B59" location="'S.24.01.01'!A1" display="S.24.01.01 - Participations held" xr:uid="{C34DD07E-3D80-4B14-92CE-EE3DBC8CA3AA}"/>
    <hyperlink ref="B60" location="'S.25.01.01'!A1" display="S.25.01.01 - Solvency Capital Requirement - for undertakings on Standard Formula" xr:uid="{E0D3438D-3DE6-4015-93E2-27AA7798B449}"/>
    <hyperlink ref="B61" location="'S.25.02.01'!A1" display="S.25.02.01 - Solvency Capital Requirement - for undertakings using the standard formula and partial internal model" xr:uid="{7D71DDB5-D93A-4ABA-9B31-8F6E087DBFB8}"/>
    <hyperlink ref="B62" location="'S.25.03.01'!A1" display="S.25.03.01 - Solvency Capital Requirement - for undertakings on Full Internal Models" xr:uid="{DE902D61-4F53-4316-8B78-082AC4779972}"/>
    <hyperlink ref="B63" location="'S.26.01.01'!A1" display="S.26.01.01 - Solvency Capital Requirement - Market risk" xr:uid="{38290FC1-5953-433B-A36A-7F45FC8CBDAA}"/>
    <hyperlink ref="B64" location="'S.26.02.01'!A1" display="S.26.02.01 - Solvency Capital Requirement - Counterparty default risk" xr:uid="{F107B75C-9F27-4122-9E78-CD07D60F855B}"/>
    <hyperlink ref="B65" location="'S.26.03.01'!A1" display="S.26.03.01 - Solvency Capital Requirement - Life underwriting risk" xr:uid="{B606DF3D-304F-4817-AA99-B67A99C5DDBB}"/>
    <hyperlink ref="B66" location="'S.26.04.01'!A1" display="S.26.04.01 - Solvency Capital Requirement - Health underwriting risk" xr:uid="{AD924F1B-EEB2-40B0-A727-C1D015AB838F}"/>
    <hyperlink ref="B67" location="'S.26.05.01'!A1" display="S.26.05.01 - Solvency Capital Requirement - Non-Life underwriting risk" xr:uid="{9A1A001D-CC9D-4CE5-8324-BD178111CE06}"/>
    <hyperlink ref="B68" location="'S.26.06.01'!A1" display="S.26.06.01 - Solvency Capital Requirement - Operational risk" xr:uid="{25627D49-A67E-4551-8287-E95F8D7DAD07}"/>
    <hyperlink ref="B69" location="'S.26.07.01'!A1" display="S.26.07.01 - Solvency Capital Requirement - Simplifications" xr:uid="{682B1487-6357-4173-9332-0EA4FE70A434}"/>
    <hyperlink ref="B70" location="'S.27.01.01'!A1" display="S.27.01.01 - Solvency Capital Requirement - Non-life and Health catastrophe risk" xr:uid="{74EEF02B-EF02-4892-A357-21FFFCDACA75}"/>
    <hyperlink ref="B71" location="'S.28.01.01'!A1" display="S.28.01.01 - Minimum Capital Requirement - Only life or only non-life insurance or reinsurance activity" xr:uid="{457CCD11-6BE1-4857-A493-ED21A93F5651}"/>
    <hyperlink ref="B72" location="'S.28.02.01'!A1" display="S.28.02.01 - Minimum Capital Requirement - Both life and non-life insurance activity" xr:uid="{94A8F1B5-83BE-439A-A3D6-BF4E0404EEEB}"/>
    <hyperlink ref="B73" location="'S.29.01.01'!A1" display="S.29.01.01 - Excess of Assets over Liabilities" xr:uid="{E545F063-ED9C-47BE-B024-7697EEFA7E6E}"/>
    <hyperlink ref="B74" location="'S.29.02.01'!A1" display="S.29.02.01 - Excess of Assets over Liabilities - explained by investments and financial liabilities" xr:uid="{D50345DC-5C90-4572-981A-AB24FC40EBFB}"/>
    <hyperlink ref="B75" location="'S.29.03.01'!A1" display="S.29.03.01 - Excess of Assets over Liabilities - explained by technical provisions" xr:uid="{07E02012-E423-4004-9D02-29E999D97CCB}"/>
    <hyperlink ref="B76" location="'S.29.04.01'!A1" display="S.29.04.01 - Detailed analysis per period - Technical flows versus Technical provisions" xr:uid="{35E5062B-11A0-45DD-8325-173A20B3D090}"/>
    <hyperlink ref="B77" location="'S.30.01.01'!A1" display="S.30.01.01 - Facultative covers for non-life and life business basic data" xr:uid="{12D31383-7953-41A4-82DD-07408114C60C}"/>
    <hyperlink ref="B78" location="'S.30.02.01'!A1" display="S.30.02.01 - Facultative covers for non-life and life business shares data" xr:uid="{E04E5145-43B8-4DD5-8C65-B6D247480039}"/>
    <hyperlink ref="B79" location="'S.30.03.01'!A1" display="S.30.03.01 - Outgoing Reinsurance Program basic data" xr:uid="{8B866240-2EE1-486B-A04E-93F842745CF7}"/>
    <hyperlink ref="B80" location="'S.30.04.01'!A1" display="S.30.04.01 - Outgoing Reinsurance Program shares data" xr:uid="{8152060D-9EAE-432B-B5CE-9D648B0426F2}"/>
    <hyperlink ref="B81" location="'S.31.01.01'!A1" display="S.31.01.01 - Share of reinsurers (including Finite Reinsurance and SPV's)" xr:uid="{4C864916-C4F3-4468-9428-95B2EC38EA75}"/>
    <hyperlink ref="B82" location="'S.31.02.01'!A1" display="S.31.02.01 - Special Purpose Vehicles" xr:uid="{8BAED6B3-F175-4093-BAC6-B54A6E512122}"/>
    <hyperlink ref="B83" location="'S.36.01.01'!A1" display="S.36.01.01 - IGT - Equity-type transactions, debt and asset transfer" xr:uid="{921AA0B8-17B1-4F93-9E6D-D0E806E5A881}"/>
    <hyperlink ref="B84" location="'S.36.02.01'!A1" display="S.36.02.01 - IGT - Derivatives" xr:uid="{B3C77B4C-2E5F-4B39-868F-B4AC34CBAAA3}"/>
    <hyperlink ref="B85" location="'S.36.03.01'!A1" display="S.36.03.01 - IGT - Internal reinsurance" xr:uid="{620C51F5-8F86-481A-A8CE-7E980C66C625}"/>
    <hyperlink ref="B86" location="'S.36.04.01'!A1" display="S.36.04.01 - IGT - Cost Sharing, contingent liabilities, off BS and other items" xr:uid="{60F7037E-CC48-4C28-9A87-FA5C7BA2B29E}"/>
  </hyperlinks>
  <pageMargins left="0.7" right="0.7" top="0.75" bottom="0.75" header="0.3" footer="0.3"/>
  <pageSetup paperSize="9" orientation="portrait"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4C5B6-D8F8-4393-B40D-F47C90300EC3}">
  <sheetPr codeName="Blad60"/>
  <dimension ref="B2:Q15"/>
  <sheetViews>
    <sheetView showGridLines="0" workbookViewId="0"/>
  </sheetViews>
  <sheetFormatPr defaultRowHeight="15"/>
  <cols>
    <col min="2" max="2" width="17.42578125" bestFit="1" customWidth="1"/>
    <col min="3" max="3" width="15.7109375" customWidth="1"/>
    <col min="4" max="6" width="40.7109375" customWidth="1"/>
    <col min="7" max="7" width="15.7109375" customWidth="1"/>
  </cols>
  <sheetData>
    <row r="2" spans="2:17" ht="23.25">
      <c r="B2" s="86" t="s">
        <v>594</v>
      </c>
      <c r="C2" s="87"/>
      <c r="D2" s="87"/>
      <c r="E2" s="87"/>
      <c r="F2" s="87"/>
      <c r="G2" s="87"/>
      <c r="H2" s="87"/>
      <c r="I2" s="87"/>
      <c r="J2" s="87"/>
      <c r="K2" s="87"/>
      <c r="L2" s="87"/>
      <c r="M2" s="87"/>
      <c r="N2" s="87"/>
      <c r="O2" s="87"/>
    </row>
    <row r="5" spans="2:17" ht="18.75">
      <c r="B5" s="88" t="s">
        <v>3652</v>
      </c>
      <c r="C5" s="87"/>
      <c r="D5" s="87"/>
      <c r="E5" s="87"/>
      <c r="F5" s="87"/>
      <c r="G5" s="87"/>
      <c r="H5" s="87"/>
      <c r="I5" s="87"/>
      <c r="J5" s="87"/>
      <c r="K5" s="87"/>
      <c r="L5" s="87"/>
    </row>
    <row r="9" spans="2:17">
      <c r="B9" s="89" t="s">
        <v>3374</v>
      </c>
      <c r="C9" s="89" t="s">
        <v>3653</v>
      </c>
      <c r="D9" s="92" t="s">
        <v>2877</v>
      </c>
      <c r="E9" s="93"/>
      <c r="F9" s="93"/>
      <c r="G9" s="94"/>
    </row>
    <row r="10" spans="2:17">
      <c r="B10" s="90"/>
      <c r="C10" s="90"/>
      <c r="D10" s="95"/>
      <c r="E10" s="96"/>
      <c r="F10" s="96"/>
      <c r="G10" s="97"/>
    </row>
    <row r="11" spans="2:17">
      <c r="B11" s="91"/>
      <c r="C11" s="91"/>
      <c r="D11" s="55" t="s">
        <v>3654</v>
      </c>
      <c r="E11" s="55" t="s">
        <v>3655</v>
      </c>
      <c r="F11" s="55" t="s">
        <v>3606</v>
      </c>
      <c r="G11" s="55" t="s">
        <v>3656</v>
      </c>
    </row>
    <row r="12" spans="2:17">
      <c r="B12" s="42" t="s">
        <v>3239</v>
      </c>
      <c r="C12" s="42" t="s">
        <v>2879</v>
      </c>
      <c r="D12" s="42" t="s">
        <v>3225</v>
      </c>
      <c r="E12" s="42" t="s">
        <v>3223</v>
      </c>
      <c r="F12" s="42" t="s">
        <v>3229</v>
      </c>
      <c r="G12" s="42" t="s">
        <v>3231</v>
      </c>
      <c r="P12" s="13" t="str">
        <f>Show!$B$56&amp;"S.06.03.01.01 Rows {"&amp;COLUMN($B$1)&amp;"}"&amp;"@ForceFilingCode:true"</f>
        <v>!S.06.03.01.01 Rows {2}@ForceFilingCode:true</v>
      </c>
      <c r="Q12" s="13" t="str">
        <f>Show!$B$56&amp;"S.06.03.01.01 Columns {"&amp;COLUMN($B$1)&amp;"}"</f>
        <v>!S.06.03.01.01 Columns {2}</v>
      </c>
    </row>
    <row r="13" spans="2:17">
      <c r="B13" s="50"/>
      <c r="C13" s="50"/>
      <c r="D13" s="51"/>
      <c r="E13" s="51"/>
      <c r="F13" s="51"/>
      <c r="G13" s="60"/>
    </row>
    <row r="15" spans="2:17">
      <c r="P15" s="13" t="str">
        <f>Show!$B$56&amp;Show!$B$56&amp;"S.06.03.01.01 Rows {"&amp;COLUMN($B$1)&amp;"}"</f>
        <v>!!S.06.03.01.01 Rows {2}</v>
      </c>
      <c r="Q15" s="13" t="str">
        <f>Show!$B$56&amp;Show!$B$56&amp;"S.06.03.01.01 Columns {"&amp;COLUMN($G$1)&amp;"}"</f>
        <v>!!S.06.03.01.01 Columns {7}</v>
      </c>
    </row>
  </sheetData>
  <sheetProtection sheet="1" objects="1" scenarios="1"/>
  <mergeCells count="5">
    <mergeCell ref="B2:O2"/>
    <mergeCell ref="B5:L5"/>
    <mergeCell ref="B9:B11"/>
    <mergeCell ref="C9:C11"/>
    <mergeCell ref="D9:G10"/>
  </mergeCells>
  <dataValidations count="3">
    <dataValidation type="list" errorStyle="warning" allowBlank="1" showInputMessage="1" showErrorMessage="1" sqref="D13" xr:uid="{CB3A8131-BCF0-4233-AAD1-DA5363E52C98}">
      <formula1>hier_MC_26</formula1>
    </dataValidation>
    <dataValidation type="list" errorStyle="warning" allowBlank="1" showInputMessage="1" showErrorMessage="1" sqref="E13" xr:uid="{842F20EE-787F-4310-BEA8-5C2EAC945ECE}">
      <formula1>hier_GA_35</formula1>
    </dataValidation>
    <dataValidation type="list" errorStyle="warning" allowBlank="1" showInputMessage="1" showErrorMessage="1" sqref="F13" xr:uid="{2C35A0BF-E7E9-41DE-AD20-BF3E5CB34F30}">
      <formula1>hier_CU_4</formula1>
    </dataValidation>
  </dataValidation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1564D-8E9E-42AF-8288-22C6C2B70BED}">
  <sheetPr codeName="Blad61"/>
  <dimension ref="B2:Q15"/>
  <sheetViews>
    <sheetView showGridLines="0" workbookViewId="0"/>
  </sheetViews>
  <sheetFormatPr defaultRowHeight="15"/>
  <cols>
    <col min="2" max="2" width="17.42578125" bestFit="1" customWidth="1"/>
    <col min="3" max="3" width="15.7109375" customWidth="1"/>
    <col min="4" max="6" width="40.7109375" customWidth="1"/>
    <col min="7" max="7" width="15.7109375" customWidth="1"/>
  </cols>
  <sheetData>
    <row r="2" spans="2:17" ht="23.25">
      <c r="B2" s="86" t="s">
        <v>594</v>
      </c>
      <c r="C2" s="87"/>
      <c r="D2" s="87"/>
      <c r="E2" s="87"/>
      <c r="F2" s="87"/>
      <c r="G2" s="87"/>
      <c r="H2" s="87"/>
      <c r="I2" s="87"/>
      <c r="J2" s="87"/>
      <c r="K2" s="87"/>
      <c r="L2" s="87"/>
      <c r="M2" s="87"/>
      <c r="N2" s="87"/>
      <c r="O2" s="87"/>
    </row>
    <row r="5" spans="2:17" ht="18.75">
      <c r="B5" s="88" t="s">
        <v>3657</v>
      </c>
      <c r="C5" s="87"/>
      <c r="D5" s="87"/>
      <c r="E5" s="87"/>
      <c r="F5" s="87"/>
      <c r="G5" s="87"/>
      <c r="H5" s="87"/>
      <c r="I5" s="87"/>
      <c r="J5" s="87"/>
      <c r="K5" s="87"/>
      <c r="L5" s="87"/>
    </row>
    <row r="9" spans="2:17">
      <c r="B9" s="89" t="s">
        <v>3374</v>
      </c>
      <c r="C9" s="89" t="s">
        <v>3653</v>
      </c>
      <c r="D9" s="92" t="s">
        <v>2877</v>
      </c>
      <c r="E9" s="93"/>
      <c r="F9" s="93"/>
      <c r="G9" s="94"/>
    </row>
    <row r="10" spans="2:17">
      <c r="B10" s="90"/>
      <c r="C10" s="90"/>
      <c r="D10" s="95"/>
      <c r="E10" s="96"/>
      <c r="F10" s="96"/>
      <c r="G10" s="97"/>
    </row>
    <row r="11" spans="2:17">
      <c r="B11" s="91"/>
      <c r="C11" s="91"/>
      <c r="D11" s="55" t="s">
        <v>3654</v>
      </c>
      <c r="E11" s="55" t="s">
        <v>3655</v>
      </c>
      <c r="F11" s="55" t="s">
        <v>3606</v>
      </c>
      <c r="G11" s="55" t="s">
        <v>3656</v>
      </c>
    </row>
    <row r="12" spans="2:17">
      <c r="B12" s="42" t="s">
        <v>3239</v>
      </c>
      <c r="C12" s="42" t="s">
        <v>2879</v>
      </c>
      <c r="D12" s="42" t="s">
        <v>3225</v>
      </c>
      <c r="E12" s="42" t="s">
        <v>3223</v>
      </c>
      <c r="F12" s="42" t="s">
        <v>3229</v>
      </c>
      <c r="G12" s="42" t="s">
        <v>3231</v>
      </c>
      <c r="P12" s="13" t="str">
        <f>Show!$B$57&amp;"S.06.03.04.01 Rows {"&amp;COLUMN($B$1)&amp;"}"&amp;"@ForceFilingCode:true"</f>
        <v>!S.06.03.04.01 Rows {2}@ForceFilingCode:true</v>
      </c>
      <c r="Q12" s="13" t="str">
        <f>Show!$B$57&amp;"S.06.03.04.01 Columns {"&amp;COLUMN($B$1)&amp;"}"</f>
        <v>!S.06.03.04.01 Columns {2}</v>
      </c>
    </row>
    <row r="13" spans="2:17">
      <c r="B13" s="50"/>
      <c r="C13" s="50"/>
      <c r="D13" s="51"/>
      <c r="E13" s="51"/>
      <c r="F13" s="51"/>
      <c r="G13" s="60"/>
    </row>
    <row r="15" spans="2:17">
      <c r="P15" s="13" t="str">
        <f>Show!$B$57&amp;Show!$B$57&amp;"S.06.03.04.01 Rows {"&amp;COLUMN($B$1)&amp;"}"</f>
        <v>!!S.06.03.04.01 Rows {2}</v>
      </c>
      <c r="Q15" s="13" t="str">
        <f>Show!$B$57&amp;Show!$B$57&amp;"S.06.03.04.01 Columns {"&amp;COLUMN($G$1)&amp;"}"</f>
        <v>!!S.06.03.04.01 Columns {7}</v>
      </c>
    </row>
  </sheetData>
  <sheetProtection sheet="1" objects="1" scenarios="1"/>
  <mergeCells count="5">
    <mergeCell ref="B2:O2"/>
    <mergeCell ref="B5:L5"/>
    <mergeCell ref="B9:B11"/>
    <mergeCell ref="C9:C11"/>
    <mergeCell ref="D9:G10"/>
  </mergeCells>
  <dataValidations count="3">
    <dataValidation type="list" errorStyle="warning" allowBlank="1" showInputMessage="1" showErrorMessage="1" sqref="D13" xr:uid="{FB00BEC5-33FC-4450-BCC5-2565FBE96D2D}">
      <formula1>hier_MC_26</formula1>
    </dataValidation>
    <dataValidation type="list" errorStyle="warning" allowBlank="1" showInputMessage="1" showErrorMessage="1" sqref="E13" xr:uid="{E5A465B9-7C4A-4108-B23B-261B100B954F}">
      <formula1>hier_GA_35</formula1>
    </dataValidation>
    <dataValidation type="list" errorStyle="warning" allowBlank="1" showInputMessage="1" showErrorMessage="1" sqref="F13" xr:uid="{3FFB99BD-E064-4755-B264-4B221F957869}">
      <formula1>hier_CU_4</formula1>
    </dataValidation>
  </dataValidation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34711-DD6F-4E61-ABB7-C1FF278439A3}">
  <sheetPr codeName="Blad62"/>
  <dimension ref="B2:AA15"/>
  <sheetViews>
    <sheetView showGridLines="0" workbookViewId="0"/>
  </sheetViews>
  <sheetFormatPr defaultRowHeight="15"/>
  <cols>
    <col min="2" max="2" width="17.42578125" bestFit="1" customWidth="1"/>
    <col min="3" max="3" width="15.7109375" customWidth="1"/>
    <col min="4" max="10" width="40.7109375" customWidth="1"/>
    <col min="11" max="11" width="15.7109375" customWidth="1"/>
    <col min="12" max="12" width="40.7109375" customWidth="1"/>
    <col min="13" max="13" width="15.7109375" customWidth="1"/>
    <col min="14" max="14" width="40.7109375" customWidth="1"/>
    <col min="15" max="17" width="15.7109375" customWidth="1"/>
  </cols>
  <sheetData>
    <row r="2" spans="2:27" ht="23.25">
      <c r="B2" s="86" t="s">
        <v>597</v>
      </c>
      <c r="C2" s="87"/>
      <c r="D2" s="87"/>
      <c r="E2" s="87"/>
      <c r="F2" s="87"/>
      <c r="G2" s="87"/>
      <c r="H2" s="87"/>
      <c r="I2" s="87"/>
      <c r="J2" s="87"/>
      <c r="K2" s="87"/>
      <c r="L2" s="87"/>
      <c r="M2" s="87"/>
      <c r="N2" s="87"/>
      <c r="O2" s="87"/>
    </row>
    <row r="5" spans="2:27" ht="18.75">
      <c r="B5" s="88" t="s">
        <v>3658</v>
      </c>
      <c r="C5" s="87"/>
      <c r="D5" s="87"/>
      <c r="E5" s="87"/>
      <c r="F5" s="87"/>
      <c r="G5" s="87"/>
      <c r="H5" s="87"/>
      <c r="I5" s="87"/>
      <c r="J5" s="87"/>
      <c r="K5" s="87"/>
      <c r="L5" s="87"/>
    </row>
    <row r="9" spans="2:27">
      <c r="B9" s="89" t="s">
        <v>3374</v>
      </c>
      <c r="C9" s="89" t="s">
        <v>3582</v>
      </c>
      <c r="D9" s="92" t="s">
        <v>2877</v>
      </c>
      <c r="E9" s="93"/>
      <c r="F9" s="93"/>
      <c r="G9" s="93"/>
      <c r="H9" s="93"/>
      <c r="I9" s="93"/>
      <c r="J9" s="93"/>
      <c r="K9" s="93"/>
      <c r="L9" s="93"/>
      <c r="M9" s="93"/>
      <c r="N9" s="93"/>
      <c r="O9" s="93"/>
      <c r="P9" s="93"/>
      <c r="Q9" s="94"/>
    </row>
    <row r="10" spans="2:27">
      <c r="B10" s="90"/>
      <c r="C10" s="90"/>
      <c r="D10" s="95"/>
      <c r="E10" s="96"/>
      <c r="F10" s="96"/>
      <c r="G10" s="96"/>
      <c r="H10" s="96"/>
      <c r="I10" s="96"/>
      <c r="J10" s="96"/>
      <c r="K10" s="96"/>
      <c r="L10" s="96"/>
      <c r="M10" s="96"/>
      <c r="N10" s="96"/>
      <c r="O10" s="96"/>
      <c r="P10" s="96"/>
      <c r="Q10" s="97"/>
    </row>
    <row r="11" spans="2:27" ht="30">
      <c r="B11" s="91"/>
      <c r="C11" s="91"/>
      <c r="D11" s="55" t="s">
        <v>3659</v>
      </c>
      <c r="E11" s="55" t="s">
        <v>3660</v>
      </c>
      <c r="F11" s="55" t="s">
        <v>3661</v>
      </c>
      <c r="G11" s="55" t="s">
        <v>3662</v>
      </c>
      <c r="H11" s="55" t="s">
        <v>3663</v>
      </c>
      <c r="I11" s="55" t="s">
        <v>3664</v>
      </c>
      <c r="J11" s="55" t="s">
        <v>3665</v>
      </c>
      <c r="K11" s="55" t="s">
        <v>3666</v>
      </c>
      <c r="L11" s="55" t="s">
        <v>3667</v>
      </c>
      <c r="M11" s="55" t="s">
        <v>3668</v>
      </c>
      <c r="N11" s="55" t="s">
        <v>3669</v>
      </c>
      <c r="O11" s="55" t="s">
        <v>3670</v>
      </c>
      <c r="P11" s="55" t="s">
        <v>3671</v>
      </c>
      <c r="Q11" s="55" t="s">
        <v>3672</v>
      </c>
    </row>
    <row r="12" spans="2:27">
      <c r="B12" s="42" t="s">
        <v>3481</v>
      </c>
      <c r="C12" s="42" t="s">
        <v>3223</v>
      </c>
      <c r="D12" s="42" t="s">
        <v>3231</v>
      </c>
      <c r="E12" s="42" t="s">
        <v>3233</v>
      </c>
      <c r="F12" s="42" t="s">
        <v>3234</v>
      </c>
      <c r="G12" s="42" t="s">
        <v>3236</v>
      </c>
      <c r="H12" s="42" t="s">
        <v>3239</v>
      </c>
      <c r="I12" s="42" t="s">
        <v>3241</v>
      </c>
      <c r="J12" s="42" t="s">
        <v>3243</v>
      </c>
      <c r="K12" s="42" t="s">
        <v>3375</v>
      </c>
      <c r="L12" s="42" t="s">
        <v>3475</v>
      </c>
      <c r="M12" s="42" t="s">
        <v>3477</v>
      </c>
      <c r="N12" s="42" t="s">
        <v>3479</v>
      </c>
      <c r="O12" s="42" t="s">
        <v>3594</v>
      </c>
      <c r="P12" s="42" t="s">
        <v>3596</v>
      </c>
      <c r="Q12" s="42" t="s">
        <v>3599</v>
      </c>
      <c r="Z12" s="13" t="str">
        <f>Show!$B$58&amp;"S.07.01.01.01 Rows {"&amp;COLUMN($B$1)&amp;"}"&amp;"@ForceFilingCode:true"</f>
        <v>!S.07.01.01.01 Rows {2}@ForceFilingCode:true</v>
      </c>
      <c r="AA12" s="13" t="str">
        <f>Show!$B$58&amp;"S.07.01.01.01 Columns {"&amp;COLUMN($B$1)&amp;"}"</f>
        <v>!S.07.01.01.01 Columns {2}</v>
      </c>
    </row>
    <row r="13" spans="2:27">
      <c r="B13" s="50"/>
      <c r="C13" s="50"/>
      <c r="D13" s="51"/>
      <c r="E13" s="51"/>
      <c r="F13" s="51"/>
      <c r="G13" s="51"/>
      <c r="H13" s="51"/>
      <c r="I13" s="51"/>
      <c r="J13" s="51"/>
      <c r="K13" s="60"/>
      <c r="L13" s="51"/>
      <c r="M13" s="70"/>
      <c r="N13" s="51"/>
      <c r="O13" s="70"/>
      <c r="P13" s="70"/>
      <c r="Q13" s="70"/>
    </row>
    <row r="15" spans="2:27">
      <c r="Z15" s="13" t="str">
        <f>Show!$B$58&amp;Show!$B$58&amp;"S.07.01.01.01 Rows {"&amp;COLUMN($B$1)&amp;"}"</f>
        <v>!!S.07.01.01.01 Rows {2}</v>
      </c>
      <c r="AA15" s="13" t="str">
        <f>Show!$B$58&amp;Show!$B$58&amp;"S.07.01.01.01 Columns {"&amp;COLUMN($Q$1)&amp;"}"</f>
        <v>!!S.07.01.01.01 Columns {17}</v>
      </c>
    </row>
  </sheetData>
  <sheetProtection sheet="1" objects="1" scenarios="1"/>
  <mergeCells count="5">
    <mergeCell ref="B2:O2"/>
    <mergeCell ref="B5:L5"/>
    <mergeCell ref="B9:B11"/>
    <mergeCell ref="C9:C11"/>
    <mergeCell ref="D9:Q10"/>
  </mergeCells>
  <dataValidations count="8">
    <dataValidation type="list" errorStyle="warning" allowBlank="1" showInputMessage="1" showErrorMessage="1" sqref="D13" xr:uid="{05F5D987-7770-4823-94F2-AE0481564A95}">
      <formula1>hier_MC_29</formula1>
    </dataValidation>
    <dataValidation type="list" errorStyle="warning" allowBlank="1" showInputMessage="1" showErrorMessage="1" sqref="E13" xr:uid="{CE284037-A8BE-47C7-869D-5E1D536652F2}">
      <formula1>hier_LB_51</formula1>
    </dataValidation>
    <dataValidation type="list" errorStyle="warning" allowBlank="1" showInputMessage="1" showErrorMessage="1" sqref="F13" xr:uid="{CAABA1FB-8374-41B8-8AA0-4E7928F2772E}">
      <formula1>hier_CG_5</formula1>
    </dataValidation>
    <dataValidation type="list" errorStyle="warning" allowBlank="1" showInputMessage="1" showErrorMessage="1" sqref="G13" xr:uid="{FACA0B73-2334-4CFF-A1A6-A5B090286353}">
      <formula1>hier_PC_2</formula1>
    </dataValidation>
    <dataValidation type="list" errorStyle="warning" allowBlank="1" showInputMessage="1" showErrorMessage="1" sqref="H13" xr:uid="{09ED48EC-B123-4695-9F1C-CD9FF9838BBA}">
      <formula1>hier_PC_1</formula1>
    </dataValidation>
    <dataValidation type="list" errorStyle="warning" allowBlank="1" showInputMessage="1" showErrorMessage="1" sqref="I13" xr:uid="{A30AC9C6-4AB2-48AE-98EA-7AD6A1BBAD66}">
      <formula1>hier_MC_30</formula1>
    </dataValidation>
    <dataValidation type="list" errorStyle="warning" allowBlank="1" showInputMessage="1" showErrorMessage="1" sqref="J13" xr:uid="{3DFFF00F-29BF-4432-B6B6-80F2A2892A0B}">
      <formula1>hier_PC_3</formula1>
    </dataValidation>
    <dataValidation type="list" errorStyle="warning" allowBlank="1" showInputMessage="1" showErrorMessage="1" sqref="L13" xr:uid="{9EF97982-7046-4333-AF24-5651A2912E84}">
      <formula1>hier_CG_11</formula1>
    </dataValidation>
  </dataValidation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95F59-E82C-4D31-80FF-215FB1D59001}">
  <sheetPr codeName="Blad63"/>
  <dimension ref="B2:AD15"/>
  <sheetViews>
    <sheetView showGridLines="0" workbookViewId="0"/>
  </sheetViews>
  <sheetFormatPr defaultRowHeight="15"/>
  <cols>
    <col min="2" max="2" width="17.42578125" bestFit="1" customWidth="1"/>
    <col min="3" max="4" width="15.7109375" customWidth="1"/>
    <col min="5" max="12" width="40.7109375" customWidth="1"/>
    <col min="13" max="13" width="15.7109375" customWidth="1"/>
    <col min="14" max="14" width="40.7109375" customWidth="1"/>
    <col min="15" max="15" width="15.7109375" customWidth="1"/>
    <col min="16" max="16" width="40.7109375" customWidth="1"/>
    <col min="17" max="19" width="15.7109375" customWidth="1"/>
  </cols>
  <sheetData>
    <row r="2" spans="2:30" ht="23.25">
      <c r="B2" s="86" t="s">
        <v>597</v>
      </c>
      <c r="C2" s="87"/>
      <c r="D2" s="87"/>
      <c r="E2" s="87"/>
      <c r="F2" s="87"/>
      <c r="G2" s="87"/>
      <c r="H2" s="87"/>
      <c r="I2" s="87"/>
      <c r="J2" s="87"/>
      <c r="K2" s="87"/>
      <c r="L2" s="87"/>
      <c r="M2" s="87"/>
      <c r="N2" s="87"/>
      <c r="O2" s="87"/>
    </row>
    <row r="5" spans="2:30" ht="18.75">
      <c r="B5" s="88" t="s">
        <v>3673</v>
      </c>
      <c r="C5" s="87"/>
      <c r="D5" s="87"/>
      <c r="E5" s="87"/>
      <c r="F5" s="87"/>
      <c r="G5" s="87"/>
      <c r="H5" s="87"/>
      <c r="I5" s="87"/>
      <c r="J5" s="87"/>
      <c r="K5" s="87"/>
      <c r="L5" s="87"/>
    </row>
    <row r="9" spans="2:30">
      <c r="B9" s="89" t="s">
        <v>3374</v>
      </c>
      <c r="C9" s="89" t="s">
        <v>3245</v>
      </c>
      <c r="D9" s="89" t="s">
        <v>3582</v>
      </c>
      <c r="E9" s="92" t="s">
        <v>2877</v>
      </c>
      <c r="F9" s="93"/>
      <c r="G9" s="93"/>
      <c r="H9" s="93"/>
      <c r="I9" s="93"/>
      <c r="J9" s="93"/>
      <c r="K9" s="93"/>
      <c r="L9" s="93"/>
      <c r="M9" s="93"/>
      <c r="N9" s="93"/>
      <c r="O9" s="93"/>
      <c r="P9" s="93"/>
      <c r="Q9" s="93"/>
      <c r="R9" s="93"/>
      <c r="S9" s="94"/>
    </row>
    <row r="10" spans="2:30">
      <c r="B10" s="90"/>
      <c r="C10" s="90"/>
      <c r="D10" s="90"/>
      <c r="E10" s="95"/>
      <c r="F10" s="96"/>
      <c r="G10" s="96"/>
      <c r="H10" s="96"/>
      <c r="I10" s="96"/>
      <c r="J10" s="96"/>
      <c r="K10" s="96"/>
      <c r="L10" s="96"/>
      <c r="M10" s="96"/>
      <c r="N10" s="96"/>
      <c r="O10" s="96"/>
      <c r="P10" s="96"/>
      <c r="Q10" s="96"/>
      <c r="R10" s="96"/>
      <c r="S10" s="97"/>
    </row>
    <row r="11" spans="2:30" ht="30">
      <c r="B11" s="91"/>
      <c r="C11" s="91"/>
      <c r="D11" s="91"/>
      <c r="E11" s="55" t="s">
        <v>3246</v>
      </c>
      <c r="F11" s="55" t="s">
        <v>3659</v>
      </c>
      <c r="G11" s="55" t="s">
        <v>3660</v>
      </c>
      <c r="H11" s="55" t="s">
        <v>3661</v>
      </c>
      <c r="I11" s="55" t="s">
        <v>3662</v>
      </c>
      <c r="J11" s="55" t="s">
        <v>3663</v>
      </c>
      <c r="K11" s="55" t="s">
        <v>3664</v>
      </c>
      <c r="L11" s="55" t="s">
        <v>3665</v>
      </c>
      <c r="M11" s="55" t="s">
        <v>3666</v>
      </c>
      <c r="N11" s="55" t="s">
        <v>3667</v>
      </c>
      <c r="O11" s="55" t="s">
        <v>3668</v>
      </c>
      <c r="P11" s="55" t="s">
        <v>3669</v>
      </c>
      <c r="Q11" s="55" t="s">
        <v>3670</v>
      </c>
      <c r="R11" s="55" t="s">
        <v>3671</v>
      </c>
      <c r="S11" s="55" t="s">
        <v>3672</v>
      </c>
    </row>
    <row r="12" spans="2:30">
      <c r="B12" s="42" t="s">
        <v>3481</v>
      </c>
      <c r="C12" s="42" t="s">
        <v>3219</v>
      </c>
      <c r="D12" s="42" t="s">
        <v>3223</v>
      </c>
      <c r="E12" s="42" t="s">
        <v>2879</v>
      </c>
      <c r="F12" s="42" t="s">
        <v>3231</v>
      </c>
      <c r="G12" s="42" t="s">
        <v>3233</v>
      </c>
      <c r="H12" s="42" t="s">
        <v>3234</v>
      </c>
      <c r="I12" s="42" t="s">
        <v>3236</v>
      </c>
      <c r="J12" s="42" t="s">
        <v>3239</v>
      </c>
      <c r="K12" s="42" t="s">
        <v>3241</v>
      </c>
      <c r="L12" s="42" t="s">
        <v>3243</v>
      </c>
      <c r="M12" s="42" t="s">
        <v>3375</v>
      </c>
      <c r="N12" s="42" t="s">
        <v>3475</v>
      </c>
      <c r="O12" s="42" t="s">
        <v>3477</v>
      </c>
      <c r="P12" s="42" t="s">
        <v>3479</v>
      </c>
      <c r="Q12" s="42" t="s">
        <v>3594</v>
      </c>
      <c r="R12" s="42" t="s">
        <v>3596</v>
      </c>
      <c r="S12" s="42" t="s">
        <v>3599</v>
      </c>
      <c r="AC12" s="13" t="str">
        <f>Show!$B$59&amp;"S.07.01.04.01 Rows {"&amp;COLUMN($B$1)&amp;"}"&amp;"@ForceFilingCode:true"</f>
        <v>!S.07.01.04.01 Rows {2}@ForceFilingCode:true</v>
      </c>
      <c r="AD12" s="13" t="str">
        <f>Show!$B$59&amp;"S.07.01.04.01 Columns {"&amp;COLUMN($B$1)&amp;"}"</f>
        <v>!S.07.01.04.01 Columns {2}</v>
      </c>
    </row>
    <row r="13" spans="2:30">
      <c r="B13" s="50"/>
      <c r="C13" s="50"/>
      <c r="D13" s="50"/>
      <c r="E13" s="51"/>
      <c r="F13" s="51"/>
      <c r="G13" s="51"/>
      <c r="H13" s="51"/>
      <c r="I13" s="51"/>
      <c r="J13" s="51"/>
      <c r="K13" s="51"/>
      <c r="L13" s="51"/>
      <c r="M13" s="60"/>
      <c r="N13" s="51"/>
      <c r="O13" s="70"/>
      <c r="P13" s="51"/>
      <c r="Q13" s="70"/>
      <c r="R13" s="70"/>
      <c r="S13" s="70"/>
    </row>
    <row r="15" spans="2:30">
      <c r="AC15" s="13" t="str">
        <f>Show!$B$59&amp;Show!$B$59&amp;"S.07.01.04.01 Rows {"&amp;COLUMN($B$1)&amp;"}"</f>
        <v>!!S.07.01.04.01 Rows {2}</v>
      </c>
      <c r="AD15" s="13" t="str">
        <f>Show!$B$59&amp;Show!$B$59&amp;"S.07.01.04.01 Columns {"&amp;COLUMN($S$1)&amp;"}"</f>
        <v>!!S.07.01.04.01 Columns {19}</v>
      </c>
    </row>
  </sheetData>
  <sheetProtection sheet="1" objects="1" scenarios="1"/>
  <mergeCells count="6">
    <mergeCell ref="B2:O2"/>
    <mergeCell ref="B5:L5"/>
    <mergeCell ref="B9:B11"/>
    <mergeCell ref="C9:C11"/>
    <mergeCell ref="D9:D11"/>
    <mergeCell ref="E9:S10"/>
  </mergeCells>
  <dataValidations count="8">
    <dataValidation type="list" errorStyle="warning" allowBlank="1" showInputMessage="1" showErrorMessage="1" sqref="F13" xr:uid="{C2D65EE0-BD2E-4C05-9399-6EE055C36C05}">
      <formula1>hier_MC_29</formula1>
    </dataValidation>
    <dataValidation type="list" errorStyle="warning" allowBlank="1" showInputMessage="1" showErrorMessage="1" sqref="G13" xr:uid="{63770B4D-74EC-4298-A388-731719CC96B0}">
      <formula1>hier_LB_51</formula1>
    </dataValidation>
    <dataValidation type="list" errorStyle="warning" allowBlank="1" showInputMessage="1" showErrorMessage="1" sqref="H13" xr:uid="{0FB4BFC3-9000-442A-95C6-3A34BE408B82}">
      <formula1>hier_CG_5</formula1>
    </dataValidation>
    <dataValidation type="list" errorStyle="warning" allowBlank="1" showInputMessage="1" showErrorMessage="1" sqref="I13" xr:uid="{1F82725B-1F7B-41EC-AAA4-4BB8A52CDCB5}">
      <formula1>hier_PC_2</formula1>
    </dataValidation>
    <dataValidation type="list" errorStyle="warning" allowBlank="1" showInputMessage="1" showErrorMessage="1" sqref="J13" xr:uid="{F551F1D6-30F2-4837-9978-5CF4591C1E42}">
      <formula1>hier_PC_1</formula1>
    </dataValidation>
    <dataValidation type="list" errorStyle="warning" allowBlank="1" showInputMessage="1" showErrorMessage="1" sqref="K13" xr:uid="{4F1E6EC1-3E48-490B-8B37-2FFFE68EA9A5}">
      <formula1>hier_MC_30</formula1>
    </dataValidation>
    <dataValidation type="list" errorStyle="warning" allowBlank="1" showInputMessage="1" showErrorMessage="1" sqref="L13" xr:uid="{425626CA-2F36-41DF-BAFA-3FB450B76050}">
      <formula1>hier_PC_3</formula1>
    </dataValidation>
    <dataValidation type="list" errorStyle="warning" allowBlank="1" showInputMessage="1" showErrorMessage="1" sqref="N13" xr:uid="{334C6008-16E3-453D-AA4D-D29218FD248D}">
      <formula1>hier_CG_11</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3A0EA-8C91-4793-A50C-D898484AF069}">
  <sheetPr codeName="Blad64"/>
  <dimension ref="B2:AH27"/>
  <sheetViews>
    <sheetView showGridLines="0" workbookViewId="0"/>
  </sheetViews>
  <sheetFormatPr defaultRowHeight="15"/>
  <cols>
    <col min="2" max="2" width="33.5703125" bestFit="1" customWidth="1"/>
    <col min="3" max="17" width="40.7109375" customWidth="1"/>
    <col min="18" max="21" width="15.7109375" customWidth="1"/>
    <col min="22" max="22" width="40.7109375" customWidth="1"/>
  </cols>
  <sheetData>
    <row r="2" spans="2:34" ht="23.25">
      <c r="B2" s="86" t="s">
        <v>600</v>
      </c>
      <c r="C2" s="87"/>
      <c r="D2" s="87"/>
      <c r="E2" s="87"/>
      <c r="F2" s="87"/>
      <c r="G2" s="87"/>
      <c r="H2" s="87"/>
      <c r="I2" s="87"/>
      <c r="J2" s="87"/>
      <c r="K2" s="87"/>
      <c r="L2" s="87"/>
      <c r="M2" s="87"/>
      <c r="N2" s="87"/>
      <c r="O2" s="87"/>
    </row>
    <row r="5" spans="2:34" ht="18.75">
      <c r="B5" s="88" t="s">
        <v>3674</v>
      </c>
      <c r="C5" s="87"/>
      <c r="D5" s="87"/>
      <c r="E5" s="87"/>
      <c r="F5" s="87"/>
      <c r="G5" s="87"/>
      <c r="H5" s="87"/>
      <c r="I5" s="87"/>
      <c r="J5" s="87"/>
      <c r="K5" s="87"/>
      <c r="L5" s="87"/>
    </row>
    <row r="9" spans="2:34">
      <c r="B9" s="89" t="s">
        <v>3374</v>
      </c>
      <c r="C9" s="89" t="s">
        <v>3676</v>
      </c>
      <c r="D9" s="89" t="s">
        <v>3322</v>
      </c>
      <c r="E9" s="89" t="s">
        <v>3677</v>
      </c>
      <c r="F9" s="92" t="s">
        <v>2877</v>
      </c>
      <c r="G9" s="93"/>
      <c r="H9" s="93"/>
      <c r="I9" s="93"/>
      <c r="J9" s="93"/>
      <c r="K9" s="93"/>
      <c r="L9" s="93"/>
      <c r="M9" s="93"/>
      <c r="N9" s="93"/>
      <c r="O9" s="93"/>
      <c r="P9" s="93"/>
      <c r="Q9" s="93"/>
      <c r="R9" s="93"/>
      <c r="S9" s="93"/>
      <c r="T9" s="93"/>
      <c r="U9" s="93"/>
      <c r="V9" s="94"/>
    </row>
    <row r="10" spans="2:34">
      <c r="B10" s="90"/>
      <c r="C10" s="90"/>
      <c r="D10" s="90"/>
      <c r="E10" s="90"/>
      <c r="F10" s="95"/>
      <c r="G10" s="96"/>
      <c r="H10" s="96"/>
      <c r="I10" s="96"/>
      <c r="J10" s="96"/>
      <c r="K10" s="96"/>
      <c r="L10" s="96"/>
      <c r="M10" s="96"/>
      <c r="N10" s="96"/>
      <c r="O10" s="96"/>
      <c r="P10" s="96"/>
      <c r="Q10" s="96"/>
      <c r="R10" s="96"/>
      <c r="S10" s="96"/>
      <c r="T10" s="96"/>
      <c r="U10" s="96"/>
      <c r="V10" s="97"/>
    </row>
    <row r="11" spans="2:34" ht="30">
      <c r="B11" s="91"/>
      <c r="C11" s="91"/>
      <c r="D11" s="91"/>
      <c r="E11" s="91"/>
      <c r="F11" s="55" t="s">
        <v>3584</v>
      </c>
      <c r="G11" s="55" t="s">
        <v>3678</v>
      </c>
      <c r="H11" s="55" t="s">
        <v>3679</v>
      </c>
      <c r="I11" s="55" t="s">
        <v>3680</v>
      </c>
      <c r="J11" s="55" t="s">
        <v>3681</v>
      </c>
      <c r="K11" s="55" t="s">
        <v>3682</v>
      </c>
      <c r="L11" s="55" t="s">
        <v>3683</v>
      </c>
      <c r="M11" s="55" t="s">
        <v>3684</v>
      </c>
      <c r="N11" s="55" t="s">
        <v>3685</v>
      </c>
      <c r="O11" s="55" t="s">
        <v>3686</v>
      </c>
      <c r="P11" s="55" t="s">
        <v>3687</v>
      </c>
      <c r="Q11" s="55" t="s">
        <v>3688</v>
      </c>
      <c r="R11" s="55" t="s">
        <v>3689</v>
      </c>
      <c r="S11" s="55" t="s">
        <v>3690</v>
      </c>
      <c r="T11" s="55" t="s">
        <v>3621</v>
      </c>
      <c r="U11" s="55" t="s">
        <v>3250</v>
      </c>
      <c r="V11" s="55" t="s">
        <v>3591</v>
      </c>
    </row>
    <row r="12" spans="2:34">
      <c r="B12" s="42" t="s">
        <v>3675</v>
      </c>
      <c r="C12" s="42" t="s">
        <v>3223</v>
      </c>
      <c r="D12" s="42" t="s">
        <v>3233</v>
      </c>
      <c r="E12" s="42" t="s">
        <v>3236</v>
      </c>
      <c r="F12" s="42" t="s">
        <v>3231</v>
      </c>
      <c r="G12" s="42" t="s">
        <v>3234</v>
      </c>
      <c r="H12" s="42" t="s">
        <v>3241</v>
      </c>
      <c r="I12" s="42" t="s">
        <v>3243</v>
      </c>
      <c r="J12" s="42" t="s">
        <v>3375</v>
      </c>
      <c r="K12" s="42" t="s">
        <v>3475</v>
      </c>
      <c r="L12" s="42" t="s">
        <v>3477</v>
      </c>
      <c r="M12" s="42" t="s">
        <v>3479</v>
      </c>
      <c r="N12" s="42" t="s">
        <v>3594</v>
      </c>
      <c r="O12" s="42" t="s">
        <v>3596</v>
      </c>
      <c r="P12" s="42" t="s">
        <v>3599</v>
      </c>
      <c r="Q12" s="42" t="s">
        <v>3481</v>
      </c>
      <c r="R12" s="42" t="s">
        <v>3508</v>
      </c>
      <c r="S12" s="42" t="s">
        <v>3509</v>
      </c>
      <c r="T12" s="42" t="s">
        <v>3511</v>
      </c>
      <c r="U12" s="42" t="s">
        <v>3513</v>
      </c>
      <c r="V12" s="42" t="s">
        <v>3514</v>
      </c>
      <c r="AG12" s="13" t="str">
        <f>Show!$B$60&amp;"S.08.01.01.01 Rows {"&amp;COLUMN($B$1)&amp;"}"&amp;"@ForceFilingCode:true"</f>
        <v>!S.08.01.01.01 Rows {2}@ForceFilingCode:true</v>
      </c>
      <c r="AH12" s="13" t="str">
        <f>Show!$B$60&amp;"S.08.01.01.01 Columns {"&amp;COLUMN($B$1)&amp;"}"</f>
        <v>!S.08.01.01.01 Columns {2}</v>
      </c>
    </row>
    <row r="13" spans="2:34">
      <c r="B13" s="50"/>
      <c r="C13" s="50"/>
      <c r="D13" s="50"/>
      <c r="E13" s="50"/>
      <c r="F13" s="51"/>
      <c r="G13" s="51"/>
      <c r="H13" s="51"/>
      <c r="I13" s="69"/>
      <c r="J13" s="60"/>
      <c r="K13" s="51"/>
      <c r="L13" s="60"/>
      <c r="M13" s="60"/>
      <c r="N13" s="50"/>
      <c r="O13" s="50"/>
      <c r="P13" s="60"/>
      <c r="Q13" s="60"/>
      <c r="R13" s="60"/>
      <c r="S13" s="54"/>
      <c r="T13" s="69"/>
      <c r="U13" s="60"/>
      <c r="V13" s="51"/>
    </row>
    <row r="15" spans="2:34">
      <c r="AG15" s="13" t="str">
        <f>Show!$B$60&amp;Show!$B$60&amp;"S.08.01.01.01 Rows {"&amp;COLUMN($B$1)&amp;"}"</f>
        <v>!!S.08.01.01.01 Rows {2}</v>
      </c>
      <c r="AH15" s="13" t="str">
        <f>Show!$B$60&amp;Show!$B$60&amp;"S.08.01.01.01 Columns {"&amp;COLUMN($V$1)&amp;"}"</f>
        <v>!!S.08.01.01.01 Columns {22}</v>
      </c>
    </row>
    <row r="17" spans="2:34" ht="18.75">
      <c r="B17" s="88" t="s">
        <v>3691</v>
      </c>
      <c r="C17" s="87"/>
      <c r="D17" s="87"/>
      <c r="E17" s="87"/>
      <c r="F17" s="87"/>
      <c r="G17" s="87"/>
      <c r="H17" s="87"/>
      <c r="I17" s="87"/>
      <c r="J17" s="87"/>
      <c r="K17" s="87"/>
      <c r="L17" s="87"/>
    </row>
    <row r="21" spans="2:34">
      <c r="B21" s="89" t="s">
        <v>3676</v>
      </c>
      <c r="C21" s="92" t="s">
        <v>2877</v>
      </c>
      <c r="D21" s="93"/>
      <c r="E21" s="93"/>
      <c r="F21" s="93"/>
      <c r="G21" s="93"/>
      <c r="H21" s="93"/>
      <c r="I21" s="93"/>
      <c r="J21" s="93"/>
      <c r="K21" s="93"/>
      <c r="L21" s="93"/>
      <c r="M21" s="93"/>
      <c r="N21" s="93"/>
      <c r="O21" s="93"/>
      <c r="P21" s="93"/>
      <c r="Q21" s="93"/>
      <c r="R21" s="94"/>
    </row>
    <row r="22" spans="2:34">
      <c r="B22" s="90"/>
      <c r="C22" s="95"/>
      <c r="D22" s="96"/>
      <c r="E22" s="96"/>
      <c r="F22" s="96"/>
      <c r="G22" s="96"/>
      <c r="H22" s="96"/>
      <c r="I22" s="96"/>
      <c r="J22" s="96"/>
      <c r="K22" s="96"/>
      <c r="L22" s="96"/>
      <c r="M22" s="96"/>
      <c r="N22" s="96"/>
      <c r="O22" s="96"/>
      <c r="P22" s="96"/>
      <c r="Q22" s="96"/>
      <c r="R22" s="97"/>
    </row>
    <row r="23" spans="2:34">
      <c r="B23" s="91"/>
      <c r="C23" s="55" t="s">
        <v>3692</v>
      </c>
      <c r="D23" s="55" t="s">
        <v>3693</v>
      </c>
      <c r="E23" s="55" t="s">
        <v>3613</v>
      </c>
      <c r="F23" s="55" t="s">
        <v>3615</v>
      </c>
      <c r="G23" s="55" t="s">
        <v>3617</v>
      </c>
      <c r="H23" s="55" t="s">
        <v>3619</v>
      </c>
      <c r="I23" s="55" t="s">
        <v>3694</v>
      </c>
      <c r="J23" s="55" t="s">
        <v>3695</v>
      </c>
      <c r="K23" s="55" t="s">
        <v>3696</v>
      </c>
      <c r="L23" s="55" t="s">
        <v>3606</v>
      </c>
      <c r="M23" s="55" t="s">
        <v>3607</v>
      </c>
      <c r="N23" s="55" t="s">
        <v>3697</v>
      </c>
      <c r="O23" s="55" t="s">
        <v>3698</v>
      </c>
      <c r="P23" s="55" t="s">
        <v>3699</v>
      </c>
      <c r="Q23" s="55" t="s">
        <v>3700</v>
      </c>
      <c r="R23" s="55" t="s">
        <v>3627</v>
      </c>
    </row>
    <row r="24" spans="2:34">
      <c r="B24" s="42" t="s">
        <v>3223</v>
      </c>
      <c r="C24" s="42" t="s">
        <v>3515</v>
      </c>
      <c r="D24" s="42" t="s">
        <v>3517</v>
      </c>
      <c r="E24" s="42" t="s">
        <v>3608</v>
      </c>
      <c r="F24" s="42" t="s">
        <v>3519</v>
      </c>
      <c r="G24" s="42" t="s">
        <v>3612</v>
      </c>
      <c r="H24" s="42" t="s">
        <v>3614</v>
      </c>
      <c r="I24" s="42" t="s">
        <v>3616</v>
      </c>
      <c r="J24" s="42" t="s">
        <v>3618</v>
      </c>
      <c r="K24" s="42" t="s">
        <v>3622</v>
      </c>
      <c r="L24" s="42" t="s">
        <v>3624</v>
      </c>
      <c r="M24" s="42" t="s">
        <v>3626</v>
      </c>
      <c r="N24" s="42" t="s">
        <v>3628</v>
      </c>
      <c r="O24" s="42" t="s">
        <v>3634</v>
      </c>
      <c r="P24" s="42" t="s">
        <v>3636</v>
      </c>
      <c r="Q24" s="42" t="s">
        <v>3701</v>
      </c>
      <c r="R24" s="42" t="s">
        <v>3702</v>
      </c>
      <c r="AG24" s="13" t="str">
        <f>Show!$B$60&amp;"S.08.01.01.02 Rows {"&amp;COLUMN($B$1)&amp;"}"&amp;"@ForceFilingCode:true"</f>
        <v>!S.08.01.01.02 Rows {2}@ForceFilingCode:true</v>
      </c>
      <c r="AH24" s="13" t="str">
        <f>Show!$B$60&amp;"S.08.01.01.02 Columns {"&amp;COLUMN($B$1)&amp;"}"</f>
        <v>!S.08.01.01.02 Columns {2}</v>
      </c>
    </row>
    <row r="25" spans="2:34">
      <c r="B25" s="50"/>
      <c r="C25" s="51"/>
      <c r="D25" s="51"/>
      <c r="E25" s="51"/>
      <c r="F25" s="51"/>
      <c r="G25" s="51"/>
      <c r="H25" s="51"/>
      <c r="I25" s="51"/>
      <c r="J25" s="51"/>
      <c r="K25" s="51"/>
      <c r="L25" s="51"/>
      <c r="M25" s="51"/>
      <c r="N25" s="51"/>
      <c r="O25" s="51"/>
      <c r="P25" s="51"/>
      <c r="Q25" s="51"/>
      <c r="R25" s="54"/>
    </row>
    <row r="27" spans="2:34">
      <c r="AG27" s="13" t="str">
        <f>Show!$B$60&amp;Show!$B$60&amp;"S.08.01.01.02 Rows {"&amp;COLUMN($B$1)&amp;"}"</f>
        <v>!!S.08.01.01.02 Rows {2}</v>
      </c>
      <c r="AH27" s="13" t="str">
        <f>Show!$B$60&amp;Show!$B$60&amp;"S.08.01.01.02 Columns {"&amp;COLUMN($R$1)&amp;"}"</f>
        <v>!!S.08.01.01.02 Columns {18}</v>
      </c>
    </row>
  </sheetData>
  <sheetProtection sheet="1" objects="1" scenarios="1"/>
  <mergeCells count="10">
    <mergeCell ref="B17:L17"/>
    <mergeCell ref="B21:B23"/>
    <mergeCell ref="C21:R22"/>
    <mergeCell ref="B2:O2"/>
    <mergeCell ref="B5:L5"/>
    <mergeCell ref="B9:B11"/>
    <mergeCell ref="C9:C11"/>
    <mergeCell ref="D9:D11"/>
    <mergeCell ref="E9:E11"/>
    <mergeCell ref="F9:V10"/>
  </mergeCells>
  <dataValidations count="10">
    <dataValidation type="list" errorStyle="warning" allowBlank="1" showInputMessage="1" showErrorMessage="1" sqref="F13" xr:uid="{EEBE65E5-FE9A-40A7-B984-7521D183B565}">
      <formula1>hier_PU_33</formula1>
    </dataValidation>
    <dataValidation type="list" errorStyle="warning" allowBlank="1" showInputMessage="1" showErrorMessage="1" sqref="G13" xr:uid="{DAE2C99A-C5B6-4CE5-8D62-789561FBE2B8}">
      <formula1>hier_LB_4</formula1>
    </dataValidation>
    <dataValidation type="list" errorStyle="warning" allowBlank="1" showInputMessage="1" showErrorMessage="1" sqref="H13" xr:uid="{EE34C687-4DB3-41E3-B969-501DAAAEB98D}">
      <formula1>hier_PU_19</formula1>
    </dataValidation>
    <dataValidation type="list" errorStyle="warning" allowBlank="1" showInputMessage="1" showErrorMessage="1" sqref="K13" xr:uid="{E7943F0A-2773-4488-88A1-4ED9FF308DFD}">
      <formula1>hier_MC_32</formula1>
    </dataValidation>
    <dataValidation type="date" operator="greaterThan" allowBlank="1" showInputMessage="1" showErrorMessage="1" errorTitle="Date value" error="This cell can only contain dates" sqref="S13 R25" xr:uid="{602D6489-B397-4032-98D2-F3D3E2BE9324}">
      <formula1>1</formula1>
    </dataValidation>
    <dataValidation type="list" errorStyle="warning" allowBlank="1" showInputMessage="1" showErrorMessage="1" sqref="V13" xr:uid="{8B10E61E-7C86-49C1-9402-389B63896E62}">
      <formula1>hier_VM_24</formula1>
    </dataValidation>
    <dataValidation type="list" errorStyle="warning" allowBlank="1" showInputMessage="1" showErrorMessage="1" sqref="F25" xr:uid="{9BE5DEE4-088F-4F59-9774-D3988772F403}">
      <formula1>hier_SE_27</formula1>
    </dataValidation>
    <dataValidation type="list" errorStyle="warning" allowBlank="1" showInputMessage="1" showErrorMessage="1" sqref="G25" xr:uid="{C88ECBB3-FF1D-45D3-90B9-AD7FF53EAE6C}">
      <formula1>hier_BR_3</formula1>
    </dataValidation>
    <dataValidation type="list" errorStyle="warning" allowBlank="1" showInputMessage="1" showErrorMessage="1" sqref="L25 P25 Q25" xr:uid="{A6C8744E-AD4C-4726-9EDC-00E924FF532B}">
      <formula1>hier_CU_1</formula1>
    </dataValidation>
    <dataValidation type="list" errorStyle="warning" allowBlank="1" showInputMessage="1" showErrorMessage="1" sqref="O25" xr:uid="{78B4E879-BF21-42F4-8EDB-0C9992FB489C}">
      <formula1>hier_LT_5</formula1>
    </dataValidation>
  </dataValidation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B1AB6-FB4D-4CB4-9EAF-979915E97C15}">
  <sheetPr codeName="Blad65"/>
  <dimension ref="B2:AK27"/>
  <sheetViews>
    <sheetView showGridLines="0" workbookViewId="0"/>
  </sheetViews>
  <sheetFormatPr defaultRowHeight="15"/>
  <cols>
    <col min="2" max="2" width="33.5703125" bestFit="1" customWidth="1"/>
    <col min="3" max="17" width="40.7109375" customWidth="1"/>
    <col min="18" max="23" width="15.7109375" customWidth="1"/>
    <col min="24" max="24" width="40.7109375" customWidth="1"/>
  </cols>
  <sheetData>
    <row r="2" spans="2:37" ht="23.25">
      <c r="B2" s="86" t="s">
        <v>600</v>
      </c>
      <c r="C2" s="87"/>
      <c r="D2" s="87"/>
      <c r="E2" s="87"/>
      <c r="F2" s="87"/>
      <c r="G2" s="87"/>
      <c r="H2" s="87"/>
      <c r="I2" s="87"/>
      <c r="J2" s="87"/>
      <c r="K2" s="87"/>
      <c r="L2" s="87"/>
      <c r="M2" s="87"/>
      <c r="N2" s="87"/>
      <c r="O2" s="87"/>
    </row>
    <row r="5" spans="2:37" ht="18.75">
      <c r="B5" s="88" t="s">
        <v>3703</v>
      </c>
      <c r="C5" s="87"/>
      <c r="D5" s="87"/>
      <c r="E5" s="87"/>
      <c r="F5" s="87"/>
      <c r="G5" s="87"/>
      <c r="H5" s="87"/>
      <c r="I5" s="87"/>
      <c r="J5" s="87"/>
      <c r="K5" s="87"/>
      <c r="L5" s="87"/>
    </row>
    <row r="9" spans="2:37">
      <c r="B9" s="89" t="s">
        <v>3374</v>
      </c>
      <c r="C9" s="89" t="s">
        <v>3245</v>
      </c>
      <c r="D9" s="89" t="s">
        <v>3676</v>
      </c>
      <c r="E9" s="89" t="s">
        <v>3322</v>
      </c>
      <c r="F9" s="89" t="s">
        <v>3677</v>
      </c>
      <c r="G9" s="92" t="s">
        <v>2877</v>
      </c>
      <c r="H9" s="93"/>
      <c r="I9" s="93"/>
      <c r="J9" s="93"/>
      <c r="K9" s="93"/>
      <c r="L9" s="93"/>
      <c r="M9" s="93"/>
      <c r="N9" s="93"/>
      <c r="O9" s="93"/>
      <c r="P9" s="93"/>
      <c r="Q9" s="93"/>
      <c r="R9" s="93"/>
      <c r="S9" s="93"/>
      <c r="T9" s="93"/>
      <c r="U9" s="93"/>
      <c r="V9" s="93"/>
      <c r="W9" s="93"/>
      <c r="X9" s="94"/>
    </row>
    <row r="10" spans="2:37">
      <c r="B10" s="90"/>
      <c r="C10" s="90"/>
      <c r="D10" s="90"/>
      <c r="E10" s="90"/>
      <c r="F10" s="90"/>
      <c r="G10" s="95"/>
      <c r="H10" s="96"/>
      <c r="I10" s="96"/>
      <c r="J10" s="96"/>
      <c r="K10" s="96"/>
      <c r="L10" s="96"/>
      <c r="M10" s="96"/>
      <c r="N10" s="96"/>
      <c r="O10" s="96"/>
      <c r="P10" s="96"/>
      <c r="Q10" s="96"/>
      <c r="R10" s="96"/>
      <c r="S10" s="96"/>
      <c r="T10" s="96"/>
      <c r="U10" s="96"/>
      <c r="V10" s="96"/>
      <c r="W10" s="96"/>
      <c r="X10" s="97"/>
    </row>
    <row r="11" spans="2:37" ht="60">
      <c r="B11" s="91"/>
      <c r="C11" s="91"/>
      <c r="D11" s="91"/>
      <c r="E11" s="91"/>
      <c r="F11" s="91"/>
      <c r="G11" s="55" t="s">
        <v>3246</v>
      </c>
      <c r="H11" s="55" t="s">
        <v>3584</v>
      </c>
      <c r="I11" s="55" t="s">
        <v>3678</v>
      </c>
      <c r="J11" s="55" t="s">
        <v>3679</v>
      </c>
      <c r="K11" s="55" t="s">
        <v>3680</v>
      </c>
      <c r="L11" s="55" t="s">
        <v>3681</v>
      </c>
      <c r="M11" s="55" t="s">
        <v>3682</v>
      </c>
      <c r="N11" s="55" t="s">
        <v>3683</v>
      </c>
      <c r="O11" s="55" t="s">
        <v>3684</v>
      </c>
      <c r="P11" s="55" t="s">
        <v>3685</v>
      </c>
      <c r="Q11" s="55" t="s">
        <v>3686</v>
      </c>
      <c r="R11" s="55" t="s">
        <v>3687</v>
      </c>
      <c r="S11" s="55" t="s">
        <v>3688</v>
      </c>
      <c r="T11" s="55" t="s">
        <v>3689</v>
      </c>
      <c r="U11" s="55" t="s">
        <v>3690</v>
      </c>
      <c r="V11" s="55" t="s">
        <v>3621</v>
      </c>
      <c r="W11" s="55" t="s">
        <v>3250</v>
      </c>
      <c r="X11" s="55" t="s">
        <v>3591</v>
      </c>
    </row>
    <row r="12" spans="2:37">
      <c r="B12" s="42" t="s">
        <v>3675</v>
      </c>
      <c r="C12" s="42" t="s">
        <v>3219</v>
      </c>
      <c r="D12" s="42" t="s">
        <v>3223</v>
      </c>
      <c r="E12" s="42" t="s">
        <v>3233</v>
      </c>
      <c r="F12" s="42" t="s">
        <v>3236</v>
      </c>
      <c r="G12" s="42" t="s">
        <v>2879</v>
      </c>
      <c r="H12" s="42" t="s">
        <v>3231</v>
      </c>
      <c r="I12" s="42" t="s">
        <v>3234</v>
      </c>
      <c r="J12" s="42" t="s">
        <v>3241</v>
      </c>
      <c r="K12" s="42" t="s">
        <v>3243</v>
      </c>
      <c r="L12" s="42" t="s">
        <v>3375</v>
      </c>
      <c r="M12" s="42" t="s">
        <v>3475</v>
      </c>
      <c r="N12" s="42" t="s">
        <v>3477</v>
      </c>
      <c r="O12" s="42" t="s">
        <v>3479</v>
      </c>
      <c r="P12" s="42" t="s">
        <v>3594</v>
      </c>
      <c r="Q12" s="42" t="s">
        <v>3596</v>
      </c>
      <c r="R12" s="42" t="s">
        <v>3599</v>
      </c>
      <c r="S12" s="42" t="s">
        <v>3481</v>
      </c>
      <c r="T12" s="42" t="s">
        <v>3508</v>
      </c>
      <c r="U12" s="42" t="s">
        <v>3509</v>
      </c>
      <c r="V12" s="42" t="s">
        <v>3511</v>
      </c>
      <c r="W12" s="42" t="s">
        <v>3513</v>
      </c>
      <c r="X12" s="42" t="s">
        <v>3514</v>
      </c>
      <c r="AJ12" s="13" t="str">
        <f>Show!$B$61&amp;"S.08.01.04.01 Rows {"&amp;COLUMN($B$1)&amp;"}"&amp;"@ForceFilingCode:true"</f>
        <v>!S.08.01.04.01 Rows {2}@ForceFilingCode:true</v>
      </c>
      <c r="AK12" s="13" t="str">
        <f>Show!$B$61&amp;"S.08.01.04.01 Columns {"&amp;COLUMN($B$1)&amp;"}"</f>
        <v>!S.08.01.04.01 Columns {2}</v>
      </c>
    </row>
    <row r="13" spans="2:37">
      <c r="B13" s="50"/>
      <c r="C13" s="50"/>
      <c r="D13" s="50"/>
      <c r="E13" s="50"/>
      <c r="F13" s="50"/>
      <c r="G13" s="51"/>
      <c r="H13" s="51"/>
      <c r="I13" s="51"/>
      <c r="J13" s="51"/>
      <c r="K13" s="69"/>
      <c r="L13" s="60"/>
      <c r="M13" s="51"/>
      <c r="N13" s="60"/>
      <c r="O13" s="60"/>
      <c r="P13" s="50"/>
      <c r="Q13" s="50"/>
      <c r="R13" s="60"/>
      <c r="S13" s="60"/>
      <c r="T13" s="60"/>
      <c r="U13" s="54"/>
      <c r="V13" s="69"/>
      <c r="W13" s="60"/>
      <c r="X13" s="51"/>
    </row>
    <row r="15" spans="2:37">
      <c r="AJ15" s="13" t="str">
        <f>Show!$B$61&amp;Show!$B$61&amp;"S.08.01.04.01 Rows {"&amp;COLUMN($B$1)&amp;"}"</f>
        <v>!!S.08.01.04.01 Rows {2}</v>
      </c>
      <c r="AK15" s="13" t="str">
        <f>Show!$B$61&amp;Show!$B$61&amp;"S.08.01.04.01 Columns {"&amp;COLUMN($X$1)&amp;"}"</f>
        <v>!!S.08.01.04.01 Columns {24}</v>
      </c>
    </row>
    <row r="17" spans="2:37" ht="18.75">
      <c r="B17" s="88" t="s">
        <v>3704</v>
      </c>
      <c r="C17" s="87"/>
      <c r="D17" s="87"/>
      <c r="E17" s="87"/>
      <c r="F17" s="87"/>
      <c r="G17" s="87"/>
      <c r="H17" s="87"/>
      <c r="I17" s="87"/>
      <c r="J17" s="87"/>
      <c r="K17" s="87"/>
      <c r="L17" s="87"/>
    </row>
    <row r="21" spans="2:37">
      <c r="B21" s="89" t="s">
        <v>3676</v>
      </c>
      <c r="C21" s="92" t="s">
        <v>2877</v>
      </c>
      <c r="D21" s="93"/>
      <c r="E21" s="93"/>
      <c r="F21" s="93"/>
      <c r="G21" s="93"/>
      <c r="H21" s="93"/>
      <c r="I21" s="93"/>
      <c r="J21" s="93"/>
      <c r="K21" s="93"/>
      <c r="L21" s="93"/>
      <c r="M21" s="93"/>
      <c r="N21" s="93"/>
      <c r="O21" s="93"/>
      <c r="P21" s="93"/>
      <c r="Q21" s="93"/>
      <c r="R21" s="94"/>
    </row>
    <row r="22" spans="2:37">
      <c r="B22" s="90"/>
      <c r="C22" s="95"/>
      <c r="D22" s="96"/>
      <c r="E22" s="96"/>
      <c r="F22" s="96"/>
      <c r="G22" s="96"/>
      <c r="H22" s="96"/>
      <c r="I22" s="96"/>
      <c r="J22" s="96"/>
      <c r="K22" s="96"/>
      <c r="L22" s="96"/>
      <c r="M22" s="96"/>
      <c r="N22" s="96"/>
      <c r="O22" s="96"/>
      <c r="P22" s="96"/>
      <c r="Q22" s="96"/>
      <c r="R22" s="97"/>
    </row>
    <row r="23" spans="2:37">
      <c r="B23" s="91"/>
      <c r="C23" s="55" t="s">
        <v>3692</v>
      </c>
      <c r="D23" s="55" t="s">
        <v>3693</v>
      </c>
      <c r="E23" s="55" t="s">
        <v>3613</v>
      </c>
      <c r="F23" s="55" t="s">
        <v>3615</v>
      </c>
      <c r="G23" s="55" t="s">
        <v>3617</v>
      </c>
      <c r="H23" s="55" t="s">
        <v>3619</v>
      </c>
      <c r="I23" s="55" t="s">
        <v>3694</v>
      </c>
      <c r="J23" s="55" t="s">
        <v>3695</v>
      </c>
      <c r="K23" s="55" t="s">
        <v>3696</v>
      </c>
      <c r="L23" s="55" t="s">
        <v>3606</v>
      </c>
      <c r="M23" s="55" t="s">
        <v>3607</v>
      </c>
      <c r="N23" s="55" t="s">
        <v>3697</v>
      </c>
      <c r="O23" s="55" t="s">
        <v>3698</v>
      </c>
      <c r="P23" s="55" t="s">
        <v>3699</v>
      </c>
      <c r="Q23" s="55" t="s">
        <v>3700</v>
      </c>
      <c r="R23" s="55" t="s">
        <v>3627</v>
      </c>
    </row>
    <row r="24" spans="2:37">
      <c r="B24" s="42" t="s">
        <v>3223</v>
      </c>
      <c r="C24" s="42" t="s">
        <v>3515</v>
      </c>
      <c r="D24" s="42" t="s">
        <v>3517</v>
      </c>
      <c r="E24" s="42" t="s">
        <v>3608</v>
      </c>
      <c r="F24" s="42" t="s">
        <v>3519</v>
      </c>
      <c r="G24" s="42" t="s">
        <v>3612</v>
      </c>
      <c r="H24" s="42" t="s">
        <v>3614</v>
      </c>
      <c r="I24" s="42" t="s">
        <v>3616</v>
      </c>
      <c r="J24" s="42" t="s">
        <v>3618</v>
      </c>
      <c r="K24" s="42" t="s">
        <v>3622</v>
      </c>
      <c r="L24" s="42" t="s">
        <v>3624</v>
      </c>
      <c r="M24" s="42" t="s">
        <v>3626</v>
      </c>
      <c r="N24" s="42" t="s">
        <v>3628</v>
      </c>
      <c r="O24" s="42" t="s">
        <v>3634</v>
      </c>
      <c r="P24" s="42" t="s">
        <v>3636</v>
      </c>
      <c r="Q24" s="42" t="s">
        <v>3701</v>
      </c>
      <c r="R24" s="42" t="s">
        <v>3702</v>
      </c>
      <c r="AJ24" s="13" t="str">
        <f>Show!$B$61&amp;"S.08.01.04.02 Rows {"&amp;COLUMN($B$1)&amp;"}"&amp;"@ForceFilingCode:true"</f>
        <v>!S.08.01.04.02 Rows {2}@ForceFilingCode:true</v>
      </c>
      <c r="AK24" s="13" t="str">
        <f>Show!$B$61&amp;"S.08.01.04.02 Columns {"&amp;COLUMN($B$1)&amp;"}"</f>
        <v>!S.08.01.04.02 Columns {2}</v>
      </c>
    </row>
    <row r="25" spans="2:37">
      <c r="B25" s="50"/>
      <c r="C25" s="51"/>
      <c r="D25" s="51"/>
      <c r="E25" s="51"/>
      <c r="F25" s="51"/>
      <c r="G25" s="51"/>
      <c r="H25" s="51"/>
      <c r="I25" s="51"/>
      <c r="J25" s="51"/>
      <c r="K25" s="51"/>
      <c r="L25" s="51"/>
      <c r="M25" s="51"/>
      <c r="N25" s="51"/>
      <c r="O25" s="51"/>
      <c r="P25" s="51"/>
      <c r="Q25" s="51"/>
      <c r="R25" s="54"/>
    </row>
    <row r="27" spans="2:37">
      <c r="AJ27" s="13" t="str">
        <f>Show!$B$61&amp;Show!$B$61&amp;"S.08.01.04.02 Rows {"&amp;COLUMN($B$1)&amp;"}"</f>
        <v>!!S.08.01.04.02 Rows {2}</v>
      </c>
      <c r="AK27" s="13" t="str">
        <f>Show!$B$61&amp;Show!$B$61&amp;"S.08.01.04.02 Columns {"&amp;COLUMN($R$1)&amp;"}"</f>
        <v>!!S.08.01.04.02 Columns {18}</v>
      </c>
    </row>
  </sheetData>
  <sheetProtection sheet="1" objects="1" scenarios="1"/>
  <mergeCells count="11">
    <mergeCell ref="B17:L17"/>
    <mergeCell ref="B21:B23"/>
    <mergeCell ref="C21:R22"/>
    <mergeCell ref="B2:O2"/>
    <mergeCell ref="B5:L5"/>
    <mergeCell ref="B9:B11"/>
    <mergeCell ref="C9:C11"/>
    <mergeCell ref="D9:D11"/>
    <mergeCell ref="E9:E11"/>
    <mergeCell ref="F9:F11"/>
    <mergeCell ref="G9:X10"/>
  </mergeCells>
  <dataValidations count="10">
    <dataValidation type="list" errorStyle="warning" allowBlank="1" showInputMessage="1" showErrorMessage="1" sqref="H13" xr:uid="{EAE9DBF3-6043-47D9-A935-8807127EC08B}">
      <formula1>hier_PU_33</formula1>
    </dataValidation>
    <dataValidation type="list" errorStyle="warning" allowBlank="1" showInputMessage="1" showErrorMessage="1" sqref="I13" xr:uid="{B65FCAB5-A30D-419C-9E23-91EB18F8279B}">
      <formula1>hier_LB_4</formula1>
    </dataValidation>
    <dataValidation type="list" errorStyle="warning" allowBlank="1" showInputMessage="1" showErrorMessage="1" sqref="J13" xr:uid="{AE331BCC-D7CE-47A3-B6B7-DEFE8E229AD7}">
      <formula1>hier_PU_19</formula1>
    </dataValidation>
    <dataValidation type="list" errorStyle="warning" allowBlank="1" showInputMessage="1" showErrorMessage="1" sqref="M13" xr:uid="{195E5970-7092-414D-ACB8-8249AF7C3A9F}">
      <formula1>hier_MC_32</formula1>
    </dataValidation>
    <dataValidation type="date" operator="greaterThan" allowBlank="1" showInputMessage="1" showErrorMessage="1" errorTitle="Date value" error="This cell can only contain dates" sqref="U13 R25" xr:uid="{4F130328-4112-4A9A-BBBE-6A28E17FC25E}">
      <formula1>1</formula1>
    </dataValidation>
    <dataValidation type="list" errorStyle="warning" allowBlank="1" showInputMessage="1" showErrorMessage="1" sqref="X13" xr:uid="{3096F6E2-1D39-4DDC-8DBE-3D79C54FC39A}">
      <formula1>hier_VM_24</formula1>
    </dataValidation>
    <dataValidation type="list" errorStyle="warning" allowBlank="1" showInputMessage="1" showErrorMessage="1" sqref="F25" xr:uid="{884C789C-AAA5-47E2-99B7-31B29AD72C82}">
      <formula1>hier_SE_28</formula1>
    </dataValidation>
    <dataValidation type="list" errorStyle="warning" allowBlank="1" showInputMessage="1" showErrorMessage="1" sqref="G25" xr:uid="{9D8658A9-D6C1-482C-9962-2262E7C283F8}">
      <formula1>hier_BR_3</formula1>
    </dataValidation>
    <dataValidation type="list" errorStyle="warning" allowBlank="1" showInputMessage="1" showErrorMessage="1" sqref="L25 P25 Q25" xr:uid="{F3E8C2A0-EB4B-41B6-B424-5163FF6741A6}">
      <formula1>hier_CU_1</formula1>
    </dataValidation>
    <dataValidation type="list" errorStyle="warning" allowBlank="1" showInputMessage="1" showErrorMessage="1" sqref="O25" xr:uid="{40C704C5-76FB-400D-92B4-4C3A09096DAF}">
      <formula1>hier_LT_5</formula1>
    </dataValidation>
  </dataValidation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2412E-A8BA-4248-A65E-8ECDB551B664}">
  <sheetPr codeName="Blad66"/>
  <dimension ref="B2:AF27"/>
  <sheetViews>
    <sheetView showGridLines="0" workbookViewId="0"/>
  </sheetViews>
  <sheetFormatPr defaultRowHeight="15"/>
  <cols>
    <col min="2" max="2" width="33.5703125" bestFit="1" customWidth="1"/>
    <col min="3" max="13" width="40.7109375" customWidth="1"/>
    <col min="14" max="20" width="15.7109375" customWidth="1"/>
  </cols>
  <sheetData>
    <row r="2" spans="2:32" ht="23.25">
      <c r="B2" s="86" t="s">
        <v>603</v>
      </c>
      <c r="C2" s="87"/>
      <c r="D2" s="87"/>
      <c r="E2" s="87"/>
      <c r="F2" s="87"/>
      <c r="G2" s="87"/>
      <c r="H2" s="87"/>
      <c r="I2" s="87"/>
      <c r="J2" s="87"/>
      <c r="K2" s="87"/>
      <c r="L2" s="87"/>
      <c r="M2" s="87"/>
      <c r="N2" s="87"/>
      <c r="O2" s="87"/>
    </row>
    <row r="5" spans="2:32" ht="18.75">
      <c r="B5" s="88" t="s">
        <v>3705</v>
      </c>
      <c r="C5" s="87"/>
      <c r="D5" s="87"/>
      <c r="E5" s="87"/>
      <c r="F5" s="87"/>
      <c r="G5" s="87"/>
      <c r="H5" s="87"/>
      <c r="I5" s="87"/>
      <c r="J5" s="87"/>
      <c r="K5" s="87"/>
      <c r="L5" s="87"/>
    </row>
    <row r="9" spans="2:32">
      <c r="B9" s="89" t="s">
        <v>3374</v>
      </c>
      <c r="C9" s="89" t="s">
        <v>3676</v>
      </c>
      <c r="D9" s="89" t="s">
        <v>3322</v>
      </c>
      <c r="E9" s="89" t="s">
        <v>3677</v>
      </c>
      <c r="F9" s="92" t="s">
        <v>2877</v>
      </c>
      <c r="G9" s="93"/>
      <c r="H9" s="93"/>
      <c r="I9" s="93"/>
      <c r="J9" s="93"/>
      <c r="K9" s="93"/>
      <c r="L9" s="93"/>
      <c r="M9" s="93"/>
      <c r="N9" s="93"/>
      <c r="O9" s="93"/>
      <c r="P9" s="93"/>
      <c r="Q9" s="93"/>
      <c r="R9" s="93"/>
      <c r="S9" s="93"/>
      <c r="T9" s="94"/>
    </row>
    <row r="10" spans="2:32">
      <c r="B10" s="90"/>
      <c r="C10" s="90"/>
      <c r="D10" s="90"/>
      <c r="E10" s="90"/>
      <c r="F10" s="95"/>
      <c r="G10" s="96"/>
      <c r="H10" s="96"/>
      <c r="I10" s="96"/>
      <c r="J10" s="96"/>
      <c r="K10" s="96"/>
      <c r="L10" s="96"/>
      <c r="M10" s="96"/>
      <c r="N10" s="96"/>
      <c r="O10" s="96"/>
      <c r="P10" s="96"/>
      <c r="Q10" s="96"/>
      <c r="R10" s="96"/>
      <c r="S10" s="96"/>
      <c r="T10" s="97"/>
    </row>
    <row r="11" spans="2:32" ht="60">
      <c r="B11" s="91"/>
      <c r="C11" s="91"/>
      <c r="D11" s="91"/>
      <c r="E11" s="91"/>
      <c r="F11" s="55" t="s">
        <v>3584</v>
      </c>
      <c r="G11" s="55" t="s">
        <v>3678</v>
      </c>
      <c r="H11" s="55" t="s">
        <v>3679</v>
      </c>
      <c r="I11" s="55" t="s">
        <v>3681</v>
      </c>
      <c r="J11" s="55" t="s">
        <v>3682</v>
      </c>
      <c r="K11" s="55" t="s">
        <v>3683</v>
      </c>
      <c r="L11" s="55" t="s">
        <v>3684</v>
      </c>
      <c r="M11" s="55" t="s">
        <v>3706</v>
      </c>
      <c r="N11" s="55" t="s">
        <v>3685</v>
      </c>
      <c r="O11" s="55" t="s">
        <v>3686</v>
      </c>
      <c r="P11" s="55" t="s">
        <v>3687</v>
      </c>
      <c r="Q11" s="55" t="s">
        <v>3688</v>
      </c>
      <c r="R11" s="55" t="s">
        <v>3689</v>
      </c>
      <c r="S11" s="55" t="s">
        <v>3690</v>
      </c>
      <c r="T11" s="55" t="s">
        <v>3250</v>
      </c>
    </row>
    <row r="12" spans="2:32">
      <c r="B12" s="42" t="s">
        <v>3675</v>
      </c>
      <c r="C12" s="42" t="s">
        <v>3223</v>
      </c>
      <c r="D12" s="42" t="s">
        <v>3233</v>
      </c>
      <c r="E12" s="42" t="s">
        <v>3236</v>
      </c>
      <c r="F12" s="42" t="s">
        <v>3231</v>
      </c>
      <c r="G12" s="42" t="s">
        <v>3234</v>
      </c>
      <c r="H12" s="42" t="s">
        <v>3241</v>
      </c>
      <c r="I12" s="42" t="s">
        <v>3243</v>
      </c>
      <c r="J12" s="42" t="s">
        <v>3375</v>
      </c>
      <c r="K12" s="42" t="s">
        <v>3475</v>
      </c>
      <c r="L12" s="42" t="s">
        <v>3477</v>
      </c>
      <c r="M12" s="42" t="s">
        <v>3479</v>
      </c>
      <c r="N12" s="42" t="s">
        <v>3594</v>
      </c>
      <c r="O12" s="42" t="s">
        <v>3596</v>
      </c>
      <c r="P12" s="42" t="s">
        <v>3599</v>
      </c>
      <c r="Q12" s="42" t="s">
        <v>3481</v>
      </c>
      <c r="R12" s="42" t="s">
        <v>3508</v>
      </c>
      <c r="S12" s="42" t="s">
        <v>3509</v>
      </c>
      <c r="T12" s="42" t="s">
        <v>3511</v>
      </c>
      <c r="AE12" s="13" t="str">
        <f>Show!$B$62&amp;"S.08.02.01.01 Rows {"&amp;COLUMN($B$1)&amp;"}"&amp;"@ForceFilingCode:true"</f>
        <v>!S.08.02.01.01 Rows {2}@ForceFilingCode:true</v>
      </c>
      <c r="AF12" s="13" t="str">
        <f>Show!$B$62&amp;"S.08.02.01.01 Columns {"&amp;COLUMN($B$1)&amp;"}"</f>
        <v>!S.08.02.01.01 Columns {2}</v>
      </c>
    </row>
    <row r="13" spans="2:32">
      <c r="B13" s="50"/>
      <c r="C13" s="50"/>
      <c r="D13" s="50"/>
      <c r="E13" s="50"/>
      <c r="F13" s="51"/>
      <c r="G13" s="51"/>
      <c r="H13" s="51"/>
      <c r="I13" s="60"/>
      <c r="J13" s="51"/>
      <c r="K13" s="60"/>
      <c r="L13" s="60"/>
      <c r="M13" s="60"/>
      <c r="N13" s="50"/>
      <c r="O13" s="50"/>
      <c r="P13" s="60"/>
      <c r="Q13" s="60"/>
      <c r="R13" s="60"/>
      <c r="S13" s="54"/>
      <c r="T13" s="60"/>
    </row>
    <row r="15" spans="2:32">
      <c r="AE15" s="13" t="str">
        <f>Show!$B$62&amp;Show!$B$62&amp;"S.08.02.01.01 Rows {"&amp;COLUMN($B$1)&amp;"}"</f>
        <v>!!S.08.02.01.01 Rows {2}</v>
      </c>
      <c r="AF15" s="13" t="str">
        <f>Show!$B$62&amp;Show!$B$62&amp;"S.08.02.01.01 Columns {"&amp;COLUMN($T$1)&amp;"}"</f>
        <v>!!S.08.02.01.01 Columns {20}</v>
      </c>
    </row>
    <row r="17" spans="2:32" ht="18.75">
      <c r="B17" s="88" t="s">
        <v>3707</v>
      </c>
      <c r="C17" s="87"/>
      <c r="D17" s="87"/>
      <c r="E17" s="87"/>
      <c r="F17" s="87"/>
      <c r="G17" s="87"/>
      <c r="H17" s="87"/>
      <c r="I17" s="87"/>
      <c r="J17" s="87"/>
      <c r="K17" s="87"/>
      <c r="L17" s="87"/>
    </row>
    <row r="21" spans="2:32">
      <c r="B21" s="89" t="s">
        <v>3676</v>
      </c>
      <c r="C21" s="92" t="s">
        <v>2877</v>
      </c>
      <c r="D21" s="93"/>
      <c r="E21" s="93"/>
      <c r="F21" s="93"/>
      <c r="G21" s="93"/>
      <c r="H21" s="93"/>
      <c r="I21" s="93"/>
      <c r="J21" s="93"/>
      <c r="K21" s="93"/>
      <c r="L21" s="93"/>
      <c r="M21" s="93"/>
      <c r="N21" s="94"/>
    </row>
    <row r="22" spans="2:32">
      <c r="B22" s="90"/>
      <c r="C22" s="95"/>
      <c r="D22" s="96"/>
      <c r="E22" s="96"/>
      <c r="F22" s="96"/>
      <c r="G22" s="96"/>
      <c r="H22" s="96"/>
      <c r="I22" s="96"/>
      <c r="J22" s="96"/>
      <c r="K22" s="96"/>
      <c r="L22" s="96"/>
      <c r="M22" s="96"/>
      <c r="N22" s="97"/>
    </row>
    <row r="23" spans="2:32">
      <c r="B23" s="91"/>
      <c r="C23" s="55" t="s">
        <v>3692</v>
      </c>
      <c r="D23" s="55" t="s">
        <v>3693</v>
      </c>
      <c r="E23" s="55" t="s">
        <v>3708</v>
      </c>
      <c r="F23" s="55" t="s">
        <v>3709</v>
      </c>
      <c r="G23" s="55" t="s">
        <v>3696</v>
      </c>
      <c r="H23" s="55" t="s">
        <v>3606</v>
      </c>
      <c r="I23" s="55" t="s">
        <v>3607</v>
      </c>
      <c r="J23" s="55" t="s">
        <v>3697</v>
      </c>
      <c r="K23" s="55" t="s">
        <v>3698</v>
      </c>
      <c r="L23" s="55" t="s">
        <v>3699</v>
      </c>
      <c r="M23" s="55" t="s">
        <v>3700</v>
      </c>
      <c r="N23" s="55" t="s">
        <v>3627</v>
      </c>
    </row>
    <row r="24" spans="2:32">
      <c r="B24" s="42" t="s">
        <v>3223</v>
      </c>
      <c r="C24" s="42" t="s">
        <v>3513</v>
      </c>
      <c r="D24" s="42" t="s">
        <v>3514</v>
      </c>
      <c r="E24" s="42" t="s">
        <v>3517</v>
      </c>
      <c r="F24" s="42" t="s">
        <v>3518</v>
      </c>
      <c r="G24" s="42" t="s">
        <v>3519</v>
      </c>
      <c r="H24" s="42" t="s">
        <v>3612</v>
      </c>
      <c r="I24" s="42" t="s">
        <v>3614</v>
      </c>
      <c r="J24" s="42" t="s">
        <v>3616</v>
      </c>
      <c r="K24" s="42" t="s">
        <v>3618</v>
      </c>
      <c r="L24" s="42" t="s">
        <v>3620</v>
      </c>
      <c r="M24" s="42" t="s">
        <v>3622</v>
      </c>
      <c r="N24" s="42" t="s">
        <v>3624</v>
      </c>
      <c r="AE24" s="13" t="str">
        <f>Show!$B$62&amp;"S.08.02.01.02 Rows {"&amp;COLUMN($B$1)&amp;"}"&amp;"@ForceFilingCode:true"</f>
        <v>!S.08.02.01.02 Rows {2}@ForceFilingCode:true</v>
      </c>
      <c r="AF24" s="13" t="str">
        <f>Show!$B$62&amp;"S.08.02.01.02 Columns {"&amp;COLUMN($B$1)&amp;"}"</f>
        <v>!S.08.02.01.02 Columns {2}</v>
      </c>
    </row>
    <row r="25" spans="2:32">
      <c r="B25" s="50"/>
      <c r="C25" s="51"/>
      <c r="D25" s="51"/>
      <c r="E25" s="51"/>
      <c r="F25" s="51"/>
      <c r="G25" s="51"/>
      <c r="H25" s="51"/>
      <c r="I25" s="51"/>
      <c r="J25" s="51"/>
      <c r="K25" s="51"/>
      <c r="L25" s="51"/>
      <c r="M25" s="51"/>
      <c r="N25" s="54"/>
    </row>
    <row r="27" spans="2:32">
      <c r="AE27" s="13" t="str">
        <f>Show!$B$62&amp;Show!$B$62&amp;"S.08.02.01.02 Rows {"&amp;COLUMN($B$1)&amp;"}"</f>
        <v>!!S.08.02.01.02 Rows {2}</v>
      </c>
      <c r="AF27" s="13" t="str">
        <f>Show!$B$62&amp;Show!$B$62&amp;"S.08.02.01.02 Columns {"&amp;COLUMN($N$1)&amp;"}"</f>
        <v>!!S.08.02.01.02 Columns {14}</v>
      </c>
    </row>
  </sheetData>
  <sheetProtection sheet="1" objects="1" scenarios="1"/>
  <mergeCells count="10">
    <mergeCell ref="B17:L17"/>
    <mergeCell ref="B21:B23"/>
    <mergeCell ref="C21:N22"/>
    <mergeCell ref="B2:O2"/>
    <mergeCell ref="B5:L5"/>
    <mergeCell ref="B9:B11"/>
    <mergeCell ref="C9:C11"/>
    <mergeCell ref="D9:D11"/>
    <mergeCell ref="E9:E11"/>
    <mergeCell ref="F9:T10"/>
  </mergeCells>
  <dataValidations count="7">
    <dataValidation type="list" errorStyle="warning" allowBlank="1" showInputMessage="1" showErrorMessage="1" sqref="F13" xr:uid="{5D660E7C-6C9A-4B79-A048-3AF68BB3D5C6}">
      <formula1>hier_PU_33</formula1>
    </dataValidation>
    <dataValidation type="list" errorStyle="warning" allowBlank="1" showInputMessage="1" showErrorMessage="1" sqref="G13" xr:uid="{63BA5D7E-E90C-435B-86A1-0DAC2D20826F}">
      <formula1>hier_LB_4</formula1>
    </dataValidation>
    <dataValidation type="list" errorStyle="warning" allowBlank="1" showInputMessage="1" showErrorMessage="1" sqref="H13" xr:uid="{68E8DAEA-EE28-41F8-911E-662134C500EB}">
      <formula1>hier_PU_19</formula1>
    </dataValidation>
    <dataValidation type="list" errorStyle="warning" allowBlank="1" showInputMessage="1" showErrorMessage="1" sqref="J13" xr:uid="{E08FC76B-0B55-44B0-8749-187DA0F90E55}">
      <formula1>hier_MC_33</formula1>
    </dataValidation>
    <dataValidation type="date" operator="greaterThan" allowBlank="1" showInputMessage="1" showErrorMessage="1" errorTitle="Date value" error="This cell can only contain dates" sqref="S13 N25" xr:uid="{60323247-9859-4727-843A-DA501BC8D507}">
      <formula1>1</formula1>
    </dataValidation>
    <dataValidation type="list" errorStyle="warning" allowBlank="1" showInputMessage="1" showErrorMessage="1" sqref="H25 L25 M25" xr:uid="{5EC88213-02C9-4F9A-8E62-507211195953}">
      <formula1>hier_CU_1</formula1>
    </dataValidation>
    <dataValidation type="list" errorStyle="warning" allowBlank="1" showInputMessage="1" showErrorMessage="1" sqref="K25" xr:uid="{36965112-8700-475D-98CE-8159A48A9D32}">
      <formula1>hier_LT_5</formula1>
    </dataValidation>
  </dataValidation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9FF23-9652-4DDB-91A0-21E4D1E19804}">
  <sheetPr codeName="Blad67"/>
  <dimension ref="B2:AI27"/>
  <sheetViews>
    <sheetView showGridLines="0" workbookViewId="0"/>
  </sheetViews>
  <sheetFormatPr defaultRowHeight="15"/>
  <cols>
    <col min="2" max="2" width="33.5703125" bestFit="1" customWidth="1"/>
    <col min="3" max="13" width="40.7109375" customWidth="1"/>
    <col min="14" max="22" width="15.7109375" customWidth="1"/>
  </cols>
  <sheetData>
    <row r="2" spans="2:35" ht="23.25">
      <c r="B2" s="86" t="s">
        <v>603</v>
      </c>
      <c r="C2" s="87"/>
      <c r="D2" s="87"/>
      <c r="E2" s="87"/>
      <c r="F2" s="87"/>
      <c r="G2" s="87"/>
      <c r="H2" s="87"/>
      <c r="I2" s="87"/>
      <c r="J2" s="87"/>
      <c r="K2" s="87"/>
      <c r="L2" s="87"/>
      <c r="M2" s="87"/>
      <c r="N2" s="87"/>
      <c r="O2" s="87"/>
    </row>
    <row r="5" spans="2:35" ht="18.75">
      <c r="B5" s="88" t="s">
        <v>3710</v>
      </c>
      <c r="C5" s="87"/>
      <c r="D5" s="87"/>
      <c r="E5" s="87"/>
      <c r="F5" s="87"/>
      <c r="G5" s="87"/>
      <c r="H5" s="87"/>
      <c r="I5" s="87"/>
      <c r="J5" s="87"/>
      <c r="K5" s="87"/>
      <c r="L5" s="87"/>
    </row>
    <row r="9" spans="2:35">
      <c r="B9" s="89" t="s">
        <v>3374</v>
      </c>
      <c r="C9" s="89" t="s">
        <v>3245</v>
      </c>
      <c r="D9" s="89" t="s">
        <v>3676</v>
      </c>
      <c r="E9" s="89" t="s">
        <v>3322</v>
      </c>
      <c r="F9" s="89" t="s">
        <v>3677</v>
      </c>
      <c r="G9" s="92" t="s">
        <v>2877</v>
      </c>
      <c r="H9" s="93"/>
      <c r="I9" s="93"/>
      <c r="J9" s="93"/>
      <c r="K9" s="93"/>
      <c r="L9" s="93"/>
      <c r="M9" s="93"/>
      <c r="N9" s="93"/>
      <c r="O9" s="93"/>
      <c r="P9" s="93"/>
      <c r="Q9" s="93"/>
      <c r="R9" s="93"/>
      <c r="S9" s="93"/>
      <c r="T9" s="93"/>
      <c r="U9" s="93"/>
      <c r="V9" s="94"/>
    </row>
    <row r="10" spans="2:35">
      <c r="B10" s="90"/>
      <c r="C10" s="90"/>
      <c r="D10" s="90"/>
      <c r="E10" s="90"/>
      <c r="F10" s="90"/>
      <c r="G10" s="95"/>
      <c r="H10" s="96"/>
      <c r="I10" s="96"/>
      <c r="J10" s="96"/>
      <c r="K10" s="96"/>
      <c r="L10" s="96"/>
      <c r="M10" s="96"/>
      <c r="N10" s="96"/>
      <c r="O10" s="96"/>
      <c r="P10" s="96"/>
      <c r="Q10" s="96"/>
      <c r="R10" s="96"/>
      <c r="S10" s="96"/>
      <c r="T10" s="96"/>
      <c r="U10" s="96"/>
      <c r="V10" s="97"/>
    </row>
    <row r="11" spans="2:35" ht="60">
      <c r="B11" s="91"/>
      <c r="C11" s="91"/>
      <c r="D11" s="91"/>
      <c r="E11" s="91"/>
      <c r="F11" s="91"/>
      <c r="G11" s="55" t="s">
        <v>3246</v>
      </c>
      <c r="H11" s="55" t="s">
        <v>3584</v>
      </c>
      <c r="I11" s="55" t="s">
        <v>3678</v>
      </c>
      <c r="J11" s="55" t="s">
        <v>3679</v>
      </c>
      <c r="K11" s="55" t="s">
        <v>3681</v>
      </c>
      <c r="L11" s="55" t="s">
        <v>3682</v>
      </c>
      <c r="M11" s="55" t="s">
        <v>3683</v>
      </c>
      <c r="N11" s="55" t="s">
        <v>3684</v>
      </c>
      <c r="O11" s="55" t="s">
        <v>3706</v>
      </c>
      <c r="P11" s="55" t="s">
        <v>3685</v>
      </c>
      <c r="Q11" s="55" t="s">
        <v>3686</v>
      </c>
      <c r="R11" s="55" t="s">
        <v>3687</v>
      </c>
      <c r="S11" s="55" t="s">
        <v>3688</v>
      </c>
      <c r="T11" s="55" t="s">
        <v>3689</v>
      </c>
      <c r="U11" s="55" t="s">
        <v>3690</v>
      </c>
      <c r="V11" s="55" t="s">
        <v>3250</v>
      </c>
    </row>
    <row r="12" spans="2:35">
      <c r="B12" s="42" t="s">
        <v>3675</v>
      </c>
      <c r="C12" s="42" t="s">
        <v>3219</v>
      </c>
      <c r="D12" s="42" t="s">
        <v>3223</v>
      </c>
      <c r="E12" s="42" t="s">
        <v>3233</v>
      </c>
      <c r="F12" s="42" t="s">
        <v>3236</v>
      </c>
      <c r="G12" s="42" t="s">
        <v>2879</v>
      </c>
      <c r="H12" s="42" t="s">
        <v>3231</v>
      </c>
      <c r="I12" s="42" t="s">
        <v>3234</v>
      </c>
      <c r="J12" s="42" t="s">
        <v>3241</v>
      </c>
      <c r="K12" s="42" t="s">
        <v>3243</v>
      </c>
      <c r="L12" s="42" t="s">
        <v>3375</v>
      </c>
      <c r="M12" s="42" t="s">
        <v>3475</v>
      </c>
      <c r="N12" s="42" t="s">
        <v>3477</v>
      </c>
      <c r="O12" s="42" t="s">
        <v>3479</v>
      </c>
      <c r="P12" s="42" t="s">
        <v>3594</v>
      </c>
      <c r="Q12" s="42" t="s">
        <v>3596</v>
      </c>
      <c r="R12" s="42" t="s">
        <v>3599</v>
      </c>
      <c r="S12" s="42" t="s">
        <v>3481</v>
      </c>
      <c r="T12" s="42" t="s">
        <v>3508</v>
      </c>
      <c r="U12" s="42" t="s">
        <v>3509</v>
      </c>
      <c r="V12" s="42" t="s">
        <v>3511</v>
      </c>
      <c r="AH12" s="13" t="str">
        <f>Show!$B$63&amp;"S.08.02.04.01 Rows {"&amp;COLUMN($B$1)&amp;"}"&amp;"@ForceFilingCode:true"</f>
        <v>!S.08.02.04.01 Rows {2}@ForceFilingCode:true</v>
      </c>
      <c r="AI12" s="13" t="str">
        <f>Show!$B$63&amp;"S.08.02.04.01 Columns {"&amp;COLUMN($B$1)&amp;"}"</f>
        <v>!S.08.02.04.01 Columns {2}</v>
      </c>
    </row>
    <row r="13" spans="2:35">
      <c r="B13" s="50"/>
      <c r="C13" s="50"/>
      <c r="D13" s="50"/>
      <c r="E13" s="50"/>
      <c r="F13" s="50"/>
      <c r="G13" s="51"/>
      <c r="H13" s="51"/>
      <c r="I13" s="51"/>
      <c r="J13" s="51"/>
      <c r="K13" s="60"/>
      <c r="L13" s="51"/>
      <c r="M13" s="60"/>
      <c r="N13" s="60"/>
      <c r="O13" s="60"/>
      <c r="P13" s="50"/>
      <c r="Q13" s="50"/>
      <c r="R13" s="60"/>
      <c r="S13" s="60"/>
      <c r="T13" s="60"/>
      <c r="U13" s="54"/>
      <c r="V13" s="60"/>
    </row>
    <row r="15" spans="2:35">
      <c r="AH15" s="13" t="str">
        <f>Show!$B$63&amp;Show!$B$63&amp;"S.08.02.04.01 Rows {"&amp;COLUMN($B$1)&amp;"}"</f>
        <v>!!S.08.02.04.01 Rows {2}</v>
      </c>
      <c r="AI15" s="13" t="str">
        <f>Show!$B$63&amp;Show!$B$63&amp;"S.08.02.04.01 Columns {"&amp;COLUMN($V$1)&amp;"}"</f>
        <v>!!S.08.02.04.01 Columns {22}</v>
      </c>
    </row>
    <row r="17" spans="2:35" ht="18.75">
      <c r="B17" s="88" t="s">
        <v>3711</v>
      </c>
      <c r="C17" s="87"/>
      <c r="D17" s="87"/>
      <c r="E17" s="87"/>
      <c r="F17" s="87"/>
      <c r="G17" s="87"/>
      <c r="H17" s="87"/>
      <c r="I17" s="87"/>
      <c r="J17" s="87"/>
      <c r="K17" s="87"/>
      <c r="L17" s="87"/>
    </row>
    <row r="21" spans="2:35">
      <c r="B21" s="89" t="s">
        <v>3676</v>
      </c>
      <c r="C21" s="92" t="s">
        <v>2877</v>
      </c>
      <c r="D21" s="93"/>
      <c r="E21" s="93"/>
      <c r="F21" s="93"/>
      <c r="G21" s="93"/>
      <c r="H21" s="93"/>
      <c r="I21" s="93"/>
      <c r="J21" s="93"/>
      <c r="K21" s="93"/>
      <c r="L21" s="93"/>
      <c r="M21" s="93"/>
      <c r="N21" s="94"/>
    </row>
    <row r="22" spans="2:35">
      <c r="B22" s="90"/>
      <c r="C22" s="95"/>
      <c r="D22" s="96"/>
      <c r="E22" s="96"/>
      <c r="F22" s="96"/>
      <c r="G22" s="96"/>
      <c r="H22" s="96"/>
      <c r="I22" s="96"/>
      <c r="J22" s="96"/>
      <c r="K22" s="96"/>
      <c r="L22" s="96"/>
      <c r="M22" s="96"/>
      <c r="N22" s="97"/>
    </row>
    <row r="23" spans="2:35">
      <c r="B23" s="91"/>
      <c r="C23" s="55" t="s">
        <v>3692</v>
      </c>
      <c r="D23" s="55" t="s">
        <v>3693</v>
      </c>
      <c r="E23" s="55" t="s">
        <v>3708</v>
      </c>
      <c r="F23" s="55" t="s">
        <v>3709</v>
      </c>
      <c r="G23" s="55" t="s">
        <v>3696</v>
      </c>
      <c r="H23" s="55" t="s">
        <v>3606</v>
      </c>
      <c r="I23" s="55" t="s">
        <v>3607</v>
      </c>
      <c r="J23" s="55" t="s">
        <v>3697</v>
      </c>
      <c r="K23" s="55" t="s">
        <v>3698</v>
      </c>
      <c r="L23" s="55" t="s">
        <v>3699</v>
      </c>
      <c r="M23" s="55" t="s">
        <v>3700</v>
      </c>
      <c r="N23" s="55" t="s">
        <v>3627</v>
      </c>
    </row>
    <row r="24" spans="2:35">
      <c r="B24" s="42" t="s">
        <v>3223</v>
      </c>
      <c r="C24" s="42" t="s">
        <v>3513</v>
      </c>
      <c r="D24" s="42" t="s">
        <v>3514</v>
      </c>
      <c r="E24" s="42" t="s">
        <v>3517</v>
      </c>
      <c r="F24" s="42" t="s">
        <v>3518</v>
      </c>
      <c r="G24" s="42" t="s">
        <v>3519</v>
      </c>
      <c r="H24" s="42" t="s">
        <v>3612</v>
      </c>
      <c r="I24" s="42" t="s">
        <v>3614</v>
      </c>
      <c r="J24" s="42" t="s">
        <v>3616</v>
      </c>
      <c r="K24" s="42" t="s">
        <v>3618</v>
      </c>
      <c r="L24" s="42" t="s">
        <v>3620</v>
      </c>
      <c r="M24" s="42" t="s">
        <v>3622</v>
      </c>
      <c r="N24" s="42" t="s">
        <v>3624</v>
      </c>
      <c r="AH24" s="13" t="str">
        <f>Show!$B$63&amp;"S.08.02.04.02 Rows {"&amp;COLUMN($B$1)&amp;"}"&amp;"@ForceFilingCode:true"</f>
        <v>!S.08.02.04.02 Rows {2}@ForceFilingCode:true</v>
      </c>
      <c r="AI24" s="13" t="str">
        <f>Show!$B$63&amp;"S.08.02.04.02 Columns {"&amp;COLUMN($B$1)&amp;"}"</f>
        <v>!S.08.02.04.02 Columns {2}</v>
      </c>
    </row>
    <row r="25" spans="2:35">
      <c r="B25" s="50"/>
      <c r="C25" s="51"/>
      <c r="D25" s="51"/>
      <c r="E25" s="51"/>
      <c r="F25" s="51"/>
      <c r="G25" s="51"/>
      <c r="H25" s="51"/>
      <c r="I25" s="51"/>
      <c r="J25" s="51"/>
      <c r="K25" s="51"/>
      <c r="L25" s="51"/>
      <c r="M25" s="51"/>
      <c r="N25" s="54"/>
    </row>
    <row r="27" spans="2:35">
      <c r="AH27" s="13" t="str">
        <f>Show!$B$63&amp;Show!$B$63&amp;"S.08.02.04.02 Rows {"&amp;COLUMN($B$1)&amp;"}"</f>
        <v>!!S.08.02.04.02 Rows {2}</v>
      </c>
      <c r="AI27" s="13" t="str">
        <f>Show!$B$63&amp;Show!$B$63&amp;"S.08.02.04.02 Columns {"&amp;COLUMN($N$1)&amp;"}"</f>
        <v>!!S.08.02.04.02 Columns {14}</v>
      </c>
    </row>
  </sheetData>
  <sheetProtection sheet="1" objects="1" scenarios="1"/>
  <mergeCells count="11">
    <mergeCell ref="B17:L17"/>
    <mergeCell ref="B21:B23"/>
    <mergeCell ref="C21:N22"/>
    <mergeCell ref="B2:O2"/>
    <mergeCell ref="B5:L5"/>
    <mergeCell ref="B9:B11"/>
    <mergeCell ref="C9:C11"/>
    <mergeCell ref="D9:D11"/>
    <mergeCell ref="E9:E11"/>
    <mergeCell ref="F9:F11"/>
    <mergeCell ref="G9:V10"/>
  </mergeCells>
  <dataValidations count="7">
    <dataValidation type="list" errorStyle="warning" allowBlank="1" showInputMessage="1" showErrorMessage="1" sqref="H13" xr:uid="{694B6116-A93B-4229-9605-2ACCD914E305}">
      <formula1>hier_PU_33</formula1>
    </dataValidation>
    <dataValidation type="list" errorStyle="warning" allowBlank="1" showInputMessage="1" showErrorMessage="1" sqref="I13" xr:uid="{B572363A-BE8C-4286-B976-216CE504CA1E}">
      <formula1>hier_LB_4</formula1>
    </dataValidation>
    <dataValidation type="list" errorStyle="warning" allowBlank="1" showInputMessage="1" showErrorMessage="1" sqref="J13" xr:uid="{93149F75-00F4-40DE-B1DD-8C158435259F}">
      <formula1>hier_PU_19</formula1>
    </dataValidation>
    <dataValidation type="list" errorStyle="warning" allowBlank="1" showInputMessage="1" showErrorMessage="1" sqref="L13" xr:uid="{CC7AB278-2AF6-4B41-88D9-F09EA7C524AD}">
      <formula1>hier_MC_33</formula1>
    </dataValidation>
    <dataValidation type="date" operator="greaterThan" allowBlank="1" showInputMessage="1" showErrorMessage="1" errorTitle="Date value" error="This cell can only contain dates" sqref="U13 N25" xr:uid="{2B078FBE-61A0-4E6A-858B-4A84C3C65705}">
      <formula1>1</formula1>
    </dataValidation>
    <dataValidation type="list" errorStyle="warning" allowBlank="1" showInputMessage="1" showErrorMessage="1" sqref="H25 L25 M25" xr:uid="{8184DE53-F551-44D8-BA9D-FBF4E1B4D11E}">
      <formula1>hier_CU_1</formula1>
    </dataValidation>
    <dataValidation type="list" errorStyle="warning" allowBlank="1" showInputMessage="1" showErrorMessage="1" sqref="K25" xr:uid="{5DABA333-3705-4646-BD0E-1950512F882A}">
      <formula1>hier_LT_5</formula1>
    </dataValidation>
  </dataValidation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DAC66-4838-4079-9320-FD535767360A}">
  <sheetPr codeName="Blad68"/>
  <dimension ref="B2:S15"/>
  <sheetViews>
    <sheetView showGridLines="0" workbookViewId="0"/>
  </sheetViews>
  <sheetFormatPr defaultRowHeight="15"/>
  <cols>
    <col min="2" max="2" width="17.42578125" bestFit="1" customWidth="1"/>
    <col min="3" max="5" width="40.7109375" customWidth="1"/>
    <col min="6" max="10" width="15.7109375" customWidth="1"/>
  </cols>
  <sheetData>
    <row r="2" spans="2:19" ht="23.25">
      <c r="B2" s="86" t="s">
        <v>606</v>
      </c>
      <c r="C2" s="87"/>
      <c r="D2" s="87"/>
      <c r="E2" s="87"/>
      <c r="F2" s="87"/>
      <c r="G2" s="87"/>
      <c r="H2" s="87"/>
      <c r="I2" s="87"/>
      <c r="J2" s="87"/>
      <c r="K2" s="87"/>
      <c r="L2" s="87"/>
      <c r="M2" s="87"/>
      <c r="N2" s="87"/>
      <c r="O2" s="87"/>
    </row>
    <row r="5" spans="2:19" ht="18.75">
      <c r="B5" s="88" t="s">
        <v>3712</v>
      </c>
      <c r="C5" s="87"/>
      <c r="D5" s="87"/>
      <c r="E5" s="87"/>
      <c r="F5" s="87"/>
      <c r="G5" s="87"/>
      <c r="H5" s="87"/>
      <c r="I5" s="87"/>
      <c r="J5" s="87"/>
      <c r="K5" s="87"/>
      <c r="L5" s="87"/>
    </row>
    <row r="9" spans="2:19">
      <c r="B9" s="89" t="s">
        <v>3374</v>
      </c>
      <c r="C9" s="92" t="s">
        <v>2877</v>
      </c>
      <c r="D9" s="93"/>
      <c r="E9" s="93"/>
      <c r="F9" s="93"/>
      <c r="G9" s="93"/>
      <c r="H9" s="93"/>
      <c r="I9" s="93"/>
      <c r="J9" s="94"/>
    </row>
    <row r="10" spans="2:19">
      <c r="B10" s="90"/>
      <c r="C10" s="95"/>
      <c r="D10" s="96"/>
      <c r="E10" s="96"/>
      <c r="F10" s="96"/>
      <c r="G10" s="96"/>
      <c r="H10" s="96"/>
      <c r="I10" s="96"/>
      <c r="J10" s="97"/>
    </row>
    <row r="11" spans="2:19" ht="30">
      <c r="B11" s="91"/>
      <c r="C11" s="55" t="s">
        <v>3713</v>
      </c>
      <c r="D11" s="55" t="s">
        <v>3584</v>
      </c>
      <c r="E11" s="55" t="s">
        <v>3714</v>
      </c>
      <c r="F11" s="55" t="s">
        <v>3715</v>
      </c>
      <c r="G11" s="55" t="s">
        <v>3716</v>
      </c>
      <c r="H11" s="55" t="s">
        <v>3717</v>
      </c>
      <c r="I11" s="55" t="s">
        <v>3718</v>
      </c>
      <c r="J11" s="55" t="s">
        <v>3719</v>
      </c>
    </row>
    <row r="12" spans="2:19">
      <c r="B12" s="42" t="s">
        <v>3581</v>
      </c>
      <c r="C12" s="42" t="s">
        <v>3223</v>
      </c>
      <c r="D12" s="42" t="s">
        <v>3229</v>
      </c>
      <c r="E12" s="42" t="s">
        <v>3231</v>
      </c>
      <c r="F12" s="42" t="s">
        <v>3233</v>
      </c>
      <c r="G12" s="42" t="s">
        <v>3234</v>
      </c>
      <c r="H12" s="42" t="s">
        <v>3236</v>
      </c>
      <c r="I12" s="42" t="s">
        <v>3239</v>
      </c>
      <c r="J12" s="42" t="s">
        <v>3241</v>
      </c>
      <c r="R12" s="13" t="str">
        <f>Show!$B$64&amp;"S.09.01.01.01 Rows {"&amp;COLUMN($B$1)&amp;"}"&amp;"@ForceFilingCode:true"</f>
        <v>!S.09.01.01.01 Rows {2}@ForceFilingCode:true</v>
      </c>
      <c r="S12" s="13" t="str">
        <f>Show!$B$64&amp;"S.09.01.01.01 Columns {"&amp;COLUMN($B$1)&amp;"}"</f>
        <v>!S.09.01.01.01 Columns {2}</v>
      </c>
    </row>
    <row r="13" spans="2:19">
      <c r="B13" s="50"/>
      <c r="C13" s="51"/>
      <c r="D13" s="51"/>
      <c r="E13" s="51"/>
      <c r="F13" s="60"/>
      <c r="G13" s="60"/>
      <c r="H13" s="60"/>
      <c r="I13" s="60"/>
      <c r="J13" s="60"/>
    </row>
    <row r="15" spans="2:19">
      <c r="R15" s="13" t="str">
        <f>Show!$B$64&amp;Show!$B$64&amp;"S.09.01.01.01 Rows {"&amp;COLUMN($B$1)&amp;"}"</f>
        <v>!!S.09.01.01.01 Rows {2}</v>
      </c>
      <c r="S15" s="13" t="str">
        <f>Show!$B$64&amp;Show!$B$64&amp;"S.09.01.01.01 Columns {"&amp;COLUMN($J$1)&amp;"}"</f>
        <v>!!S.09.01.01.01 Columns {10}</v>
      </c>
    </row>
  </sheetData>
  <sheetProtection sheet="1" objects="1" scenarios="1"/>
  <mergeCells count="4">
    <mergeCell ref="B2:O2"/>
    <mergeCell ref="B5:L5"/>
    <mergeCell ref="B9:B11"/>
    <mergeCell ref="C9:J10"/>
  </mergeCells>
  <dataValidations count="3">
    <dataValidation type="list" errorStyle="warning" allowBlank="1" showInputMessage="1" showErrorMessage="1" sqref="C13" xr:uid="{1FCB86FB-7341-4134-A348-0B68694B1D5B}">
      <formula1>hier_MC_28</formula1>
    </dataValidation>
    <dataValidation type="list" errorStyle="warning" allowBlank="1" showInputMessage="1" showErrorMessage="1" sqref="D13" xr:uid="{E2793F5F-1DE0-4E5A-8570-207BE5A7E99F}">
      <formula1>hier_PU_33</formula1>
    </dataValidation>
    <dataValidation type="list" errorStyle="warning" allowBlank="1" showInputMessage="1" showErrorMessage="1" sqref="E13" xr:uid="{1EF99D09-3789-4124-AEE3-5943EDAF0566}">
      <formula1>hier_LB_4</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95C8B-8592-4E8C-9DE3-6118ABF962A6}">
  <sheetPr codeName="Blad69"/>
  <dimension ref="B2:V15"/>
  <sheetViews>
    <sheetView showGridLines="0" workbookViewId="0"/>
  </sheetViews>
  <sheetFormatPr defaultRowHeight="15"/>
  <cols>
    <col min="2" max="2" width="17.42578125" bestFit="1" customWidth="1"/>
    <col min="3" max="3" width="15.7109375" customWidth="1"/>
    <col min="4" max="7" width="40.7109375" customWidth="1"/>
    <col min="8" max="12" width="15.7109375" customWidth="1"/>
  </cols>
  <sheetData>
    <row r="2" spans="2:22" ht="23.25">
      <c r="B2" s="86" t="s">
        <v>606</v>
      </c>
      <c r="C2" s="87"/>
      <c r="D2" s="87"/>
      <c r="E2" s="87"/>
      <c r="F2" s="87"/>
      <c r="G2" s="87"/>
      <c r="H2" s="87"/>
      <c r="I2" s="87"/>
      <c r="J2" s="87"/>
      <c r="K2" s="87"/>
      <c r="L2" s="87"/>
      <c r="M2" s="87"/>
      <c r="N2" s="87"/>
      <c r="O2" s="87"/>
    </row>
    <row r="5" spans="2:22" ht="18.75">
      <c r="B5" s="88" t="s">
        <v>3720</v>
      </c>
      <c r="C5" s="87"/>
      <c r="D5" s="87"/>
      <c r="E5" s="87"/>
      <c r="F5" s="87"/>
      <c r="G5" s="87"/>
      <c r="H5" s="87"/>
      <c r="I5" s="87"/>
      <c r="J5" s="87"/>
      <c r="K5" s="87"/>
      <c r="L5" s="87"/>
    </row>
    <row r="9" spans="2:22">
      <c r="B9" s="89" t="s">
        <v>3374</v>
      </c>
      <c r="C9" s="89" t="s">
        <v>3245</v>
      </c>
      <c r="D9" s="92" t="s">
        <v>2877</v>
      </c>
      <c r="E9" s="93"/>
      <c r="F9" s="93"/>
      <c r="G9" s="93"/>
      <c r="H9" s="93"/>
      <c r="I9" s="93"/>
      <c r="J9" s="93"/>
      <c r="K9" s="93"/>
      <c r="L9" s="94"/>
    </row>
    <row r="10" spans="2:22">
      <c r="B10" s="90"/>
      <c r="C10" s="90"/>
      <c r="D10" s="95"/>
      <c r="E10" s="96"/>
      <c r="F10" s="96"/>
      <c r="G10" s="96"/>
      <c r="H10" s="96"/>
      <c r="I10" s="96"/>
      <c r="J10" s="96"/>
      <c r="K10" s="96"/>
      <c r="L10" s="97"/>
    </row>
    <row r="11" spans="2:22" ht="30">
      <c r="B11" s="91"/>
      <c r="C11" s="91"/>
      <c r="D11" s="55" t="s">
        <v>3246</v>
      </c>
      <c r="E11" s="55" t="s">
        <v>3713</v>
      </c>
      <c r="F11" s="55" t="s">
        <v>3584</v>
      </c>
      <c r="G11" s="55" t="s">
        <v>3714</v>
      </c>
      <c r="H11" s="55" t="s">
        <v>3715</v>
      </c>
      <c r="I11" s="55" t="s">
        <v>3716</v>
      </c>
      <c r="J11" s="55" t="s">
        <v>3717</v>
      </c>
      <c r="K11" s="55" t="s">
        <v>3718</v>
      </c>
      <c r="L11" s="55" t="s">
        <v>3719</v>
      </c>
    </row>
    <row r="12" spans="2:22">
      <c r="B12" s="42" t="s">
        <v>3581</v>
      </c>
      <c r="C12" s="42" t="s">
        <v>3219</v>
      </c>
      <c r="D12" s="42" t="s">
        <v>2879</v>
      </c>
      <c r="E12" s="42" t="s">
        <v>3223</v>
      </c>
      <c r="F12" s="42" t="s">
        <v>3229</v>
      </c>
      <c r="G12" s="42" t="s">
        <v>3231</v>
      </c>
      <c r="H12" s="42" t="s">
        <v>3233</v>
      </c>
      <c r="I12" s="42" t="s">
        <v>3234</v>
      </c>
      <c r="J12" s="42" t="s">
        <v>3236</v>
      </c>
      <c r="K12" s="42" t="s">
        <v>3239</v>
      </c>
      <c r="L12" s="42" t="s">
        <v>3241</v>
      </c>
      <c r="U12" s="13" t="str">
        <f>Show!$B$65&amp;"S.09.01.04.01 Rows {"&amp;COLUMN($B$1)&amp;"}"&amp;"@ForceFilingCode:true"</f>
        <v>!S.09.01.04.01 Rows {2}@ForceFilingCode:true</v>
      </c>
      <c r="V12" s="13" t="str">
        <f>Show!$B$65&amp;"S.09.01.04.01 Columns {"&amp;COLUMN($B$1)&amp;"}"</f>
        <v>!S.09.01.04.01 Columns {2}</v>
      </c>
    </row>
    <row r="13" spans="2:22">
      <c r="B13" s="50"/>
      <c r="C13" s="50"/>
      <c r="D13" s="51"/>
      <c r="E13" s="51"/>
      <c r="F13" s="51"/>
      <c r="G13" s="51"/>
      <c r="H13" s="60"/>
      <c r="I13" s="60"/>
      <c r="J13" s="60"/>
      <c r="K13" s="60"/>
      <c r="L13" s="60"/>
    </row>
    <row r="15" spans="2:22">
      <c r="U15" s="13" t="str">
        <f>Show!$B$65&amp;Show!$B$65&amp;"S.09.01.04.01 Rows {"&amp;COLUMN($B$1)&amp;"}"</f>
        <v>!!S.09.01.04.01 Rows {2}</v>
      </c>
      <c r="V15" s="13" t="str">
        <f>Show!$B$65&amp;Show!$B$65&amp;"S.09.01.04.01 Columns {"&amp;COLUMN($L$1)&amp;"}"</f>
        <v>!!S.09.01.04.01 Columns {12}</v>
      </c>
    </row>
  </sheetData>
  <sheetProtection sheet="1" objects="1" scenarios="1"/>
  <mergeCells count="5">
    <mergeCell ref="B2:O2"/>
    <mergeCell ref="B5:L5"/>
    <mergeCell ref="B9:B11"/>
    <mergeCell ref="C9:C11"/>
    <mergeCell ref="D9:L10"/>
  </mergeCells>
  <dataValidations count="3">
    <dataValidation type="list" errorStyle="warning" allowBlank="1" showInputMessage="1" showErrorMessage="1" sqref="E13" xr:uid="{50AB93C3-ECEB-4411-82C6-CC06CE0027A8}">
      <formula1>hier_MC_28</formula1>
    </dataValidation>
    <dataValidation type="list" errorStyle="warning" allowBlank="1" showInputMessage="1" showErrorMessage="1" sqref="F13" xr:uid="{09D5604F-9063-475F-89BB-49071DEAF18F}">
      <formula1>hier_PU_33</formula1>
    </dataValidation>
    <dataValidation type="list" errorStyle="warning" allowBlank="1" showInputMessage="1" showErrorMessage="1" sqref="G13" xr:uid="{3AE81AAC-148A-46D7-B5C2-1E63CCF35B7A}">
      <formula1>hier_LB_4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00E43-141E-4261-91B7-72B96A91F49E}">
  <sheetPr codeName="Blad7"/>
  <dimension ref="B2:O28"/>
  <sheetViews>
    <sheetView showGridLines="0" workbookViewId="0"/>
  </sheetViews>
  <sheetFormatPr defaultRowHeight="15"/>
  <cols>
    <col min="2" max="2" width="81.140625" bestFit="1" customWidth="1"/>
    <col min="4" max="4" width="40.7109375" customWidth="1"/>
  </cols>
  <sheetData>
    <row r="2" spans="2:15" ht="23.25">
      <c r="B2" s="86" t="s">
        <v>512</v>
      </c>
      <c r="C2" s="87"/>
      <c r="D2" s="87"/>
      <c r="E2" s="87"/>
      <c r="F2" s="87"/>
      <c r="G2" s="87"/>
      <c r="H2" s="87"/>
      <c r="I2" s="87"/>
      <c r="J2" s="87"/>
      <c r="K2" s="87"/>
      <c r="L2" s="87"/>
      <c r="M2" s="87"/>
      <c r="N2" s="87"/>
      <c r="O2" s="87"/>
    </row>
    <row r="5" spans="2:15" ht="18.75">
      <c r="B5" s="88" t="s">
        <v>3024</v>
      </c>
      <c r="C5" s="87"/>
      <c r="D5" s="87"/>
      <c r="E5" s="87"/>
      <c r="F5" s="87"/>
      <c r="G5" s="87"/>
      <c r="H5" s="87"/>
      <c r="I5" s="87"/>
      <c r="J5" s="87"/>
      <c r="K5" s="87"/>
      <c r="L5" s="87"/>
    </row>
    <row r="9" spans="2:15">
      <c r="D9" s="89" t="s">
        <v>2877</v>
      </c>
    </row>
    <row r="10" spans="2:15">
      <c r="D10" s="90"/>
    </row>
    <row r="11" spans="2:15">
      <c r="D11" s="90"/>
    </row>
    <row r="12" spans="2:15">
      <c r="D12" s="91"/>
    </row>
    <row r="13" spans="2:15">
      <c r="D13" s="45" t="s">
        <v>2879</v>
      </c>
      <c r="I13" s="13" t="str">
        <f>IF(COUNTIF(D:D,"Reported")&gt;0,Show!$B$3,"!")&amp;"S.01.01.02.01 Rows {"&amp;COLUMN($C$1)&amp;"}"&amp;"@ForceFilingCode:true"</f>
        <v>!S.01.01.02.01 Rows {3}@ForceFilingCode:true</v>
      </c>
      <c r="J13" s="13" t="str">
        <f>IF(COUNTIF(D:D,"Reported")&gt;0,Show!$B$3,"!")&amp;"S.01.01.02.01 Columns {"&amp;COLUMN($D$1)&amp;"}"</f>
        <v>!S.01.01.02.01 Columns {4}</v>
      </c>
    </row>
    <row r="14" spans="2:15">
      <c r="B14" s="43" t="s">
        <v>2880</v>
      </c>
      <c r="C14" s="44" t="s">
        <v>2878</v>
      </c>
      <c r="D14" s="48"/>
    </row>
    <row r="15" spans="2:15">
      <c r="B15" s="47" t="s">
        <v>2881</v>
      </c>
      <c r="C15" s="44" t="s">
        <v>2878</v>
      </c>
      <c r="D15" s="46"/>
    </row>
    <row r="16" spans="2:15">
      <c r="B16" s="52" t="s">
        <v>2882</v>
      </c>
      <c r="C16" s="41" t="s">
        <v>2883</v>
      </c>
      <c r="D16" s="51"/>
    </row>
    <row r="17" spans="2:10">
      <c r="B17" s="52" t="s">
        <v>3025</v>
      </c>
      <c r="C17" s="41" t="s">
        <v>2887</v>
      </c>
      <c r="D17" s="51"/>
    </row>
    <row r="18" spans="2:10">
      <c r="B18" s="52" t="s">
        <v>3026</v>
      </c>
      <c r="C18" s="41" t="s">
        <v>2901</v>
      </c>
      <c r="D18" s="51"/>
    </row>
    <row r="19" spans="2:10">
      <c r="B19" s="52" t="s">
        <v>2906</v>
      </c>
      <c r="C19" s="41" t="s">
        <v>2907</v>
      </c>
      <c r="D19" s="51"/>
    </row>
    <row r="20" spans="2:10">
      <c r="B20" s="52" t="s">
        <v>2908</v>
      </c>
      <c r="C20" s="41" t="s">
        <v>2909</v>
      </c>
      <c r="D20" s="51"/>
    </row>
    <row r="21" spans="2:10">
      <c r="B21" s="52" t="s">
        <v>2912</v>
      </c>
      <c r="C21" s="41" t="s">
        <v>2913</v>
      </c>
      <c r="D21" s="51"/>
    </row>
    <row r="22" spans="2:10">
      <c r="B22" s="52" t="s">
        <v>2914</v>
      </c>
      <c r="C22" s="41" t="s">
        <v>2915</v>
      </c>
      <c r="D22" s="51"/>
    </row>
    <row r="23" spans="2:10">
      <c r="B23" s="52" t="s">
        <v>3027</v>
      </c>
      <c r="C23" s="41" t="s">
        <v>2923</v>
      </c>
      <c r="D23" s="51"/>
    </row>
    <row r="24" spans="2:10">
      <c r="B24" s="52" t="s">
        <v>3028</v>
      </c>
      <c r="C24" s="41" t="s">
        <v>2937</v>
      </c>
      <c r="D24" s="51"/>
    </row>
    <row r="25" spans="2:10">
      <c r="B25" s="52" t="s">
        <v>2960</v>
      </c>
      <c r="C25" s="41" t="s">
        <v>2961</v>
      </c>
      <c r="D25" s="51"/>
    </row>
    <row r="26" spans="2:10" ht="30">
      <c r="B26" s="52" t="s">
        <v>2992</v>
      </c>
      <c r="C26" s="41" t="s">
        <v>2993</v>
      </c>
      <c r="D26" s="51"/>
    </row>
    <row r="27" spans="2:10">
      <c r="B27" s="52" t="s">
        <v>2994</v>
      </c>
      <c r="C27" s="41" t="s">
        <v>2995</v>
      </c>
      <c r="D27" s="51"/>
    </row>
    <row r="28" spans="2:10">
      <c r="I28" s="13" t="str">
        <f>IF(COUNTIF(D:D,"Reported")&gt;0,Show!$B$3&amp;Show!$B$3,"!!")&amp;"S.01.01.02.01 Rows {"&amp;COLUMN($C$1)&amp;"}"</f>
        <v>!!S.01.01.02.01 Rows {3}</v>
      </c>
      <c r="J28" s="13" t="str">
        <f>IF(COUNTIF(D:D,"Reported")&gt;0,Show!$B$3&amp;Show!$B$3,"!!")&amp;"S.01.01.02.01 Columns {"&amp;COLUMN($D$1)&amp;"}"</f>
        <v>!!S.01.01.02.01 Columns {4}</v>
      </c>
    </row>
  </sheetData>
  <sheetProtection sheet="1" objects="1" scenarios="1"/>
  <mergeCells count="3">
    <mergeCell ref="B2:O2"/>
    <mergeCell ref="B5:L5"/>
    <mergeCell ref="D9:D12"/>
  </mergeCells>
  <dataValidations count="10">
    <dataValidation type="list" errorStyle="warning" allowBlank="1" showInputMessage="1" showErrorMessage="1" sqref="D16" xr:uid="{2D7B58B1-4709-434F-9407-13EF4F518003}">
      <formula1>hier_CN_2</formula1>
    </dataValidation>
    <dataValidation type="list" errorStyle="warning" allowBlank="1" showInputMessage="1" showErrorMessage="1" sqref="D17" xr:uid="{EDB0F75F-9578-452E-96FA-F08063EF3602}">
      <formula1>hier_CN_81</formula1>
    </dataValidation>
    <dataValidation type="list" errorStyle="warning" allowBlank="1" showInputMessage="1" showErrorMessage="1" sqref="D18 D25" xr:uid="{41E73B53-79E8-4B6A-BD3C-57721634AADF}">
      <formula1>hier_CN_113</formula1>
    </dataValidation>
    <dataValidation type="list" errorStyle="warning" allowBlank="1" showInputMessage="1" showErrorMessage="1" sqref="D19" xr:uid="{13E51DFA-8D26-4955-9559-672D332EDF28}">
      <formula1>hier_CN_23</formula1>
    </dataValidation>
    <dataValidation type="list" errorStyle="warning" allowBlank="1" showInputMessage="1" showErrorMessage="1" sqref="D20" xr:uid="{417257F9-67E9-450C-8B1D-428ED8AAB00E}">
      <formula1>hier_CN_117</formula1>
    </dataValidation>
    <dataValidation type="list" errorStyle="warning" allowBlank="1" showInputMessage="1" showErrorMessage="1" sqref="D21 D22" xr:uid="{2920C162-2436-41D3-A4B7-349A64E152E7}">
      <formula1>hier_CN_28</formula1>
    </dataValidation>
    <dataValidation type="list" errorStyle="warning" allowBlank="1" showInputMessage="1" showErrorMessage="1" sqref="D23" xr:uid="{F81B1B61-31BA-4D3C-962D-84A62D2D6A2F}">
      <formula1>hier_CN_83</formula1>
    </dataValidation>
    <dataValidation type="list" errorStyle="warning" allowBlank="1" showInputMessage="1" showErrorMessage="1" sqref="D24" xr:uid="{06B62CF6-9D5D-4789-9F78-0FFB4F062358}">
      <formula1>hier_CN_84</formula1>
    </dataValidation>
    <dataValidation type="list" errorStyle="warning" allowBlank="1" showInputMessage="1" showErrorMessage="1" sqref="D26" xr:uid="{B8051715-0784-455E-AE93-DA6F375A0F8C}">
      <formula1>hier_CN_85</formula1>
    </dataValidation>
    <dataValidation type="list" errorStyle="warning" allowBlank="1" showInputMessage="1" showErrorMessage="1" sqref="D27" xr:uid="{82F791AE-18E2-4273-8A7E-0DE54BD85474}">
      <formula1>hier_CN_86</formula1>
    </dataValidation>
  </dataValidations>
  <hyperlinks>
    <hyperlink ref="B16" location="'S.01.02.01'!A1" display="S.01.02.01 - Basic Information - General" xr:uid="{389F128B-FEA4-43C9-BCC2-280FEC320BD3}"/>
    <hyperlink ref="B17" location="'S.02.01.02'!A1" display="S.02.01.02 - Balance sheet" xr:uid="{5724787C-BAFD-4D75-8AAA-9A0275385EB5}"/>
    <hyperlink ref="B18" location="'S.05.01.02'!A1" display="S.05.01.02 - Premiums, claims and expenses by line of business" xr:uid="{338C41CD-21CA-496C-B419-28752B712CC5}"/>
    <hyperlink ref="B19" location="'S.06.02.01'!A1" display="S.06.02.01 - List of assets" xr:uid="{89822D6A-A64C-4237-AEC3-7465BE477E83}"/>
    <hyperlink ref="B20" location="'S.06.03.01'!A1" display="S.06.03.01 - Collective investment undertakings - look-through approach" xr:uid="{C7C7834E-B612-4CC6-80D0-C42FC994A41E}"/>
    <hyperlink ref="B21" location="'S.08.01.01'!A1" display="S.08.01.01 - Open derivatives" xr:uid="{153AAF06-1C0D-47D2-9290-3E88CBA1CDF7}"/>
    <hyperlink ref="B22" location="'S.08.02.01'!A1" display="S.08.02.01 - Derivatives Transactions" xr:uid="{502D2BD0-E69C-4285-8357-A300AC648C57}"/>
    <hyperlink ref="B23" location="'S.12.01.02'!A1" display="S.12.01.02 - Life and Health SLT Technical Provisions" xr:uid="{51DF177C-20B5-4817-984F-DCF656DD502E}"/>
    <hyperlink ref="B24" location="'S.17.01.02'!A1" display="S.17.01.02 - Non-Life Technical Provisions" xr:uid="{05D8A8F4-F249-487B-87E7-D2355B55C37A}"/>
    <hyperlink ref="B25" location="'S.23.01.01'!A1" display="S.23.01.01 - Own funds" xr:uid="{F3521BCA-AEAC-475C-88A5-256F22074888}"/>
    <hyperlink ref="B26" location="'S.28.01.01'!A1" display="S.28.01.01 - Minimum Capital Requirement - Only life or only non-life insurance or reinsurance activity" xr:uid="{4943B7CC-0648-4E4E-BC3B-6DDFCAE97872}"/>
    <hyperlink ref="B27" location="'S.28.02.01'!A1" display="S.28.02.01 - Minimum Capital Requirement - Both life and non-life insurance activity" xr:uid="{BA66055E-3ADB-4387-A896-F43FB488163E}"/>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25462-797B-44ED-A3FD-28CA0911351D}">
  <sheetPr codeName="Blad70"/>
  <dimension ref="B2:Y15"/>
  <sheetViews>
    <sheetView showGridLines="0" workbookViewId="0"/>
  </sheetViews>
  <sheetFormatPr defaultRowHeight="15"/>
  <cols>
    <col min="2" max="2" width="17.42578125" bestFit="1" customWidth="1"/>
    <col min="3" max="3" width="15.7109375" customWidth="1"/>
    <col min="4" max="10" width="40.7109375" customWidth="1"/>
    <col min="11" max="15" width="15.7109375" customWidth="1"/>
  </cols>
  <sheetData>
    <row r="2" spans="2:25" ht="23.25">
      <c r="B2" s="86" t="s">
        <v>609</v>
      </c>
      <c r="C2" s="87"/>
      <c r="D2" s="87"/>
      <c r="E2" s="87"/>
      <c r="F2" s="87"/>
      <c r="G2" s="87"/>
      <c r="H2" s="87"/>
      <c r="I2" s="87"/>
      <c r="J2" s="87"/>
      <c r="K2" s="87"/>
      <c r="L2" s="87"/>
      <c r="M2" s="87"/>
      <c r="N2" s="87"/>
      <c r="O2" s="87"/>
    </row>
    <row r="5" spans="2:25" ht="18.75">
      <c r="B5" s="88" t="s">
        <v>3721</v>
      </c>
      <c r="C5" s="87"/>
      <c r="D5" s="87"/>
      <c r="E5" s="87"/>
      <c r="F5" s="87"/>
      <c r="G5" s="87"/>
      <c r="H5" s="87"/>
      <c r="I5" s="87"/>
      <c r="J5" s="87"/>
      <c r="K5" s="87"/>
      <c r="L5" s="87"/>
    </row>
    <row r="9" spans="2:25">
      <c r="B9" s="89" t="s">
        <v>3374</v>
      </c>
      <c r="C9" s="89" t="s">
        <v>3322</v>
      </c>
      <c r="D9" s="92" t="s">
        <v>2877</v>
      </c>
      <c r="E9" s="93"/>
      <c r="F9" s="93"/>
      <c r="G9" s="93"/>
      <c r="H9" s="93"/>
      <c r="I9" s="93"/>
      <c r="J9" s="93"/>
      <c r="K9" s="93"/>
      <c r="L9" s="93"/>
      <c r="M9" s="93"/>
      <c r="N9" s="93"/>
      <c r="O9" s="94"/>
    </row>
    <row r="10" spans="2:25">
      <c r="B10" s="90"/>
      <c r="C10" s="90"/>
      <c r="D10" s="95"/>
      <c r="E10" s="96"/>
      <c r="F10" s="96"/>
      <c r="G10" s="96"/>
      <c r="H10" s="96"/>
      <c r="I10" s="96"/>
      <c r="J10" s="96"/>
      <c r="K10" s="96"/>
      <c r="L10" s="96"/>
      <c r="M10" s="96"/>
      <c r="N10" s="96"/>
      <c r="O10" s="97"/>
    </row>
    <row r="11" spans="2:25" ht="30">
      <c r="B11" s="91"/>
      <c r="C11" s="91"/>
      <c r="D11" s="55" t="s">
        <v>3584</v>
      </c>
      <c r="E11" s="55" t="s">
        <v>3713</v>
      </c>
      <c r="F11" s="55" t="s">
        <v>3692</v>
      </c>
      <c r="G11" s="55" t="s">
        <v>3722</v>
      </c>
      <c r="H11" s="55" t="s">
        <v>3723</v>
      </c>
      <c r="I11" s="55" t="s">
        <v>3724</v>
      </c>
      <c r="J11" s="55" t="s">
        <v>3725</v>
      </c>
      <c r="K11" s="55" t="s">
        <v>3726</v>
      </c>
      <c r="L11" s="55" t="s">
        <v>3727</v>
      </c>
      <c r="M11" s="55" t="s">
        <v>3728</v>
      </c>
      <c r="N11" s="55" t="s">
        <v>3627</v>
      </c>
      <c r="O11" s="55" t="s">
        <v>3729</v>
      </c>
    </row>
    <row r="12" spans="2:25">
      <c r="B12" s="42" t="s">
        <v>3596</v>
      </c>
      <c r="C12" s="42" t="s">
        <v>3229</v>
      </c>
      <c r="D12" s="42" t="s">
        <v>3223</v>
      </c>
      <c r="E12" s="42" t="s">
        <v>3231</v>
      </c>
      <c r="F12" s="42" t="s">
        <v>3233</v>
      </c>
      <c r="G12" s="42" t="s">
        <v>3234</v>
      </c>
      <c r="H12" s="42" t="s">
        <v>3239</v>
      </c>
      <c r="I12" s="42" t="s">
        <v>3241</v>
      </c>
      <c r="J12" s="42" t="s">
        <v>3243</v>
      </c>
      <c r="K12" s="42" t="s">
        <v>3375</v>
      </c>
      <c r="L12" s="42" t="s">
        <v>3475</v>
      </c>
      <c r="M12" s="42" t="s">
        <v>3477</v>
      </c>
      <c r="N12" s="42" t="s">
        <v>3479</v>
      </c>
      <c r="O12" s="42" t="s">
        <v>3594</v>
      </c>
      <c r="X12" s="13" t="str">
        <f>Show!$B$66&amp;"S.10.01.01.01 Rows {"&amp;COLUMN($B$1)&amp;"}"&amp;"@ForceFilingCode:true"</f>
        <v>!S.10.01.01.01 Rows {2}@ForceFilingCode:true</v>
      </c>
      <c r="Y12" s="13" t="str">
        <f>Show!$B$66&amp;"S.10.01.01.01 Columns {"&amp;COLUMN($B$1)&amp;"}"</f>
        <v>!S.10.01.01.01 Columns {2}</v>
      </c>
    </row>
    <row r="13" spans="2:25">
      <c r="B13" s="50"/>
      <c r="C13" s="50"/>
      <c r="D13" s="51"/>
      <c r="E13" s="51"/>
      <c r="F13" s="51"/>
      <c r="G13" s="51"/>
      <c r="H13" s="51"/>
      <c r="I13" s="51"/>
      <c r="J13" s="51"/>
      <c r="K13" s="60"/>
      <c r="L13" s="60"/>
      <c r="M13" s="54"/>
      <c r="N13" s="54"/>
      <c r="O13" s="60"/>
    </row>
    <row r="15" spans="2:25">
      <c r="X15" s="13" t="str">
        <f>Show!$B$66&amp;Show!$B$66&amp;"S.10.01.01.01 Rows {"&amp;COLUMN($B$1)&amp;"}"</f>
        <v>!!S.10.01.01.01 Rows {2}</v>
      </c>
      <c r="Y15" s="13" t="str">
        <f>Show!$B$66&amp;Show!$B$66&amp;"S.10.01.01.01 Columns {"&amp;COLUMN($O$1)&amp;"}"</f>
        <v>!!S.10.01.01.01 Columns {15}</v>
      </c>
    </row>
  </sheetData>
  <sheetProtection sheet="1" objects="1" scenarios="1"/>
  <mergeCells count="5">
    <mergeCell ref="B2:O2"/>
    <mergeCell ref="B5:L5"/>
    <mergeCell ref="B9:B11"/>
    <mergeCell ref="C9:C11"/>
    <mergeCell ref="D9:O10"/>
  </mergeCells>
  <dataValidations count="6">
    <dataValidation type="list" errorStyle="warning" allowBlank="1" showInputMessage="1" showErrorMessage="1" sqref="D13" xr:uid="{05EC395E-5203-4895-ABD3-44132232A056}">
      <formula1>hier_PU_33</formula1>
    </dataValidation>
    <dataValidation type="list" errorStyle="warning" allowBlank="1" showInputMessage="1" showErrorMessage="1" sqref="E13" xr:uid="{2AB6802B-F82D-4E57-BE7F-666FC321D591}">
      <formula1>hier_MC_28</formula1>
    </dataValidation>
    <dataValidation type="list" errorStyle="warning" allowBlank="1" showInputMessage="1" showErrorMessage="1" sqref="H13" xr:uid="{3FB274E0-F165-47C1-BA20-D6E77CB2D313}">
      <formula1>hier_MC_29</formula1>
    </dataValidation>
    <dataValidation type="list" errorStyle="warning" allowBlank="1" showInputMessage="1" showErrorMessage="1" sqref="I13" xr:uid="{665D6683-7D13-43CD-8D90-8DB0D0339094}">
      <formula1>hier_LB_4</formula1>
    </dataValidation>
    <dataValidation type="list" errorStyle="warning" allowBlank="1" showInputMessage="1" showErrorMessage="1" sqref="J13" xr:uid="{CBE377D6-0BA8-4B0F-8D69-1B3F04DA50CE}">
      <formula1>hier_TB_8</formula1>
    </dataValidation>
    <dataValidation type="date" operator="greaterThan" allowBlank="1" showInputMessage="1" showErrorMessage="1" errorTitle="Date value" error="This cell can only contain dates" sqref="M13:N13" xr:uid="{CC32D4B5-888D-4D3F-88A0-534626BE7308}">
      <formula1>1</formula1>
    </dataValidation>
  </dataValidation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3FCF9-02EE-48B8-A8DC-3E425D52EE2F}">
  <sheetPr codeName="Blad71"/>
  <dimension ref="B2:AB15"/>
  <sheetViews>
    <sheetView showGridLines="0" workbookViewId="0"/>
  </sheetViews>
  <sheetFormatPr defaultRowHeight="15"/>
  <cols>
    <col min="2" max="2" width="17.42578125" bestFit="1" customWidth="1"/>
    <col min="3" max="4" width="15.7109375" customWidth="1"/>
    <col min="5" max="12" width="40.7109375" customWidth="1"/>
    <col min="13" max="17" width="15.7109375" customWidth="1"/>
  </cols>
  <sheetData>
    <row r="2" spans="2:28" ht="23.25">
      <c r="B2" s="86" t="s">
        <v>609</v>
      </c>
      <c r="C2" s="87"/>
      <c r="D2" s="87"/>
      <c r="E2" s="87"/>
      <c r="F2" s="87"/>
      <c r="G2" s="87"/>
      <c r="H2" s="87"/>
      <c r="I2" s="87"/>
      <c r="J2" s="87"/>
      <c r="K2" s="87"/>
      <c r="L2" s="87"/>
      <c r="M2" s="87"/>
      <c r="N2" s="87"/>
      <c r="O2" s="87"/>
    </row>
    <row r="5" spans="2:28" ht="18.75">
      <c r="B5" s="88" t="s">
        <v>3730</v>
      </c>
      <c r="C5" s="87"/>
      <c r="D5" s="87"/>
      <c r="E5" s="87"/>
      <c r="F5" s="87"/>
      <c r="G5" s="87"/>
      <c r="H5" s="87"/>
      <c r="I5" s="87"/>
      <c r="J5" s="87"/>
      <c r="K5" s="87"/>
      <c r="L5" s="87"/>
    </row>
    <row r="9" spans="2:28">
      <c r="B9" s="89" t="s">
        <v>3374</v>
      </c>
      <c r="C9" s="89" t="s">
        <v>3245</v>
      </c>
      <c r="D9" s="89" t="s">
        <v>3322</v>
      </c>
      <c r="E9" s="92" t="s">
        <v>2877</v>
      </c>
      <c r="F9" s="93"/>
      <c r="G9" s="93"/>
      <c r="H9" s="93"/>
      <c r="I9" s="93"/>
      <c r="J9" s="93"/>
      <c r="K9" s="93"/>
      <c r="L9" s="93"/>
      <c r="M9" s="93"/>
      <c r="N9" s="93"/>
      <c r="O9" s="93"/>
      <c r="P9" s="93"/>
      <c r="Q9" s="94"/>
    </row>
    <row r="10" spans="2:28">
      <c r="B10" s="90"/>
      <c r="C10" s="90"/>
      <c r="D10" s="90"/>
      <c r="E10" s="95"/>
      <c r="F10" s="96"/>
      <c r="G10" s="96"/>
      <c r="H10" s="96"/>
      <c r="I10" s="96"/>
      <c r="J10" s="96"/>
      <c r="K10" s="96"/>
      <c r="L10" s="96"/>
      <c r="M10" s="96"/>
      <c r="N10" s="96"/>
      <c r="O10" s="96"/>
      <c r="P10" s="96"/>
      <c r="Q10" s="97"/>
    </row>
    <row r="11" spans="2:28" ht="30">
      <c r="B11" s="91"/>
      <c r="C11" s="91"/>
      <c r="D11" s="91"/>
      <c r="E11" s="55" t="s">
        <v>3246</v>
      </c>
      <c r="F11" s="55" t="s">
        <v>3584</v>
      </c>
      <c r="G11" s="55" t="s">
        <v>3713</v>
      </c>
      <c r="H11" s="55" t="s">
        <v>3692</v>
      </c>
      <c r="I11" s="55" t="s">
        <v>3722</v>
      </c>
      <c r="J11" s="55" t="s">
        <v>3723</v>
      </c>
      <c r="K11" s="55" t="s">
        <v>3724</v>
      </c>
      <c r="L11" s="55" t="s">
        <v>3725</v>
      </c>
      <c r="M11" s="55" t="s">
        <v>3726</v>
      </c>
      <c r="N11" s="55" t="s">
        <v>3727</v>
      </c>
      <c r="O11" s="55" t="s">
        <v>3728</v>
      </c>
      <c r="P11" s="55" t="s">
        <v>3627</v>
      </c>
      <c r="Q11" s="55" t="s">
        <v>3729</v>
      </c>
    </row>
    <row r="12" spans="2:28">
      <c r="B12" s="42" t="s">
        <v>3596</v>
      </c>
      <c r="C12" s="42" t="s">
        <v>3219</v>
      </c>
      <c r="D12" s="42" t="s">
        <v>3229</v>
      </c>
      <c r="E12" s="42" t="s">
        <v>2879</v>
      </c>
      <c r="F12" s="42" t="s">
        <v>3223</v>
      </c>
      <c r="G12" s="42" t="s">
        <v>3231</v>
      </c>
      <c r="H12" s="42" t="s">
        <v>3233</v>
      </c>
      <c r="I12" s="42" t="s">
        <v>3234</v>
      </c>
      <c r="J12" s="42" t="s">
        <v>3239</v>
      </c>
      <c r="K12" s="42" t="s">
        <v>3241</v>
      </c>
      <c r="L12" s="42" t="s">
        <v>3243</v>
      </c>
      <c r="M12" s="42" t="s">
        <v>3375</v>
      </c>
      <c r="N12" s="42" t="s">
        <v>3475</v>
      </c>
      <c r="O12" s="42" t="s">
        <v>3477</v>
      </c>
      <c r="P12" s="42" t="s">
        <v>3479</v>
      </c>
      <c r="Q12" s="42" t="s">
        <v>3594</v>
      </c>
      <c r="AA12" s="13" t="str">
        <f>Show!$B$67&amp;"S.10.01.04.01 Rows {"&amp;COLUMN($B$1)&amp;"}"&amp;"@ForceFilingCode:true"</f>
        <v>!S.10.01.04.01 Rows {2}@ForceFilingCode:true</v>
      </c>
      <c r="AB12" s="13" t="str">
        <f>Show!$B$67&amp;"S.10.01.04.01 Columns {"&amp;COLUMN($B$1)&amp;"}"</f>
        <v>!S.10.01.04.01 Columns {2}</v>
      </c>
    </row>
    <row r="13" spans="2:28">
      <c r="B13" s="50"/>
      <c r="C13" s="50"/>
      <c r="D13" s="50"/>
      <c r="E13" s="51"/>
      <c r="F13" s="51"/>
      <c r="G13" s="51"/>
      <c r="H13" s="51"/>
      <c r="I13" s="51"/>
      <c r="J13" s="51"/>
      <c r="K13" s="51"/>
      <c r="L13" s="51"/>
      <c r="M13" s="60"/>
      <c r="N13" s="60"/>
      <c r="O13" s="54"/>
      <c r="P13" s="54"/>
      <c r="Q13" s="60"/>
    </row>
    <row r="15" spans="2:28">
      <c r="AA15" s="13" t="str">
        <f>Show!$B$67&amp;Show!$B$67&amp;"S.10.01.04.01 Rows {"&amp;COLUMN($B$1)&amp;"}"</f>
        <v>!!S.10.01.04.01 Rows {2}</v>
      </c>
      <c r="AB15" s="13" t="str">
        <f>Show!$B$67&amp;Show!$B$67&amp;"S.10.01.04.01 Columns {"&amp;COLUMN($Q$1)&amp;"}"</f>
        <v>!!S.10.01.04.01 Columns {17}</v>
      </c>
    </row>
  </sheetData>
  <sheetProtection sheet="1" objects="1" scenarios="1"/>
  <mergeCells count="6">
    <mergeCell ref="B2:O2"/>
    <mergeCell ref="B5:L5"/>
    <mergeCell ref="B9:B11"/>
    <mergeCell ref="C9:C11"/>
    <mergeCell ref="D9:D11"/>
    <mergeCell ref="E9:Q10"/>
  </mergeCells>
  <dataValidations count="6">
    <dataValidation type="list" errorStyle="warning" allowBlank="1" showInputMessage="1" showErrorMessage="1" sqref="F13" xr:uid="{BF452B59-292F-47B6-AA7F-034BB7E922FB}">
      <formula1>hier_PU_33</formula1>
    </dataValidation>
    <dataValidation type="list" errorStyle="warning" allowBlank="1" showInputMessage="1" showErrorMessage="1" sqref="G13" xr:uid="{7B274989-5E9B-43C3-B99B-45501ACB667F}">
      <formula1>hier_MC_28</formula1>
    </dataValidation>
    <dataValidation type="list" errorStyle="warning" allowBlank="1" showInputMessage="1" showErrorMessage="1" sqref="J13" xr:uid="{86023211-15B5-4A4D-9234-AE9FC9D56327}">
      <formula1>hier_MC_29</formula1>
    </dataValidation>
    <dataValidation type="list" errorStyle="warning" allowBlank="1" showInputMessage="1" showErrorMessage="1" sqref="K13" xr:uid="{AAA0034B-8103-4D61-8BEB-7FD4504E1CEB}">
      <formula1>hier_LB_4</formula1>
    </dataValidation>
    <dataValidation type="list" errorStyle="warning" allowBlank="1" showInputMessage="1" showErrorMessage="1" sqref="L13" xr:uid="{A91A8DA9-3C6C-4512-A621-DB10267EDC39}">
      <formula1>hier_TB_8</formula1>
    </dataValidation>
    <dataValidation type="date" operator="greaterThan" allowBlank="1" showInputMessage="1" showErrorMessage="1" errorTitle="Date value" error="This cell can only contain dates" sqref="O13:P13" xr:uid="{95D6C1A7-94ED-4541-9A8A-30595EE6CD6D}">
      <formula1>1</formula1>
    </dataValidation>
  </dataValidation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14204-C964-4BBF-8C86-FDC34237BB1A}">
  <sheetPr codeName="Blad72"/>
  <dimension ref="B2:X29"/>
  <sheetViews>
    <sheetView showGridLines="0" workbookViewId="0"/>
  </sheetViews>
  <sheetFormatPr defaultRowHeight="15"/>
  <cols>
    <col min="2" max="2" width="29.140625" bestFit="1" customWidth="1"/>
    <col min="3" max="11" width="40.7109375" customWidth="1"/>
    <col min="12" max="14" width="15.7109375" customWidth="1"/>
  </cols>
  <sheetData>
    <row r="2" spans="2:24" ht="23.25">
      <c r="B2" s="86" t="s">
        <v>612</v>
      </c>
      <c r="C2" s="87"/>
      <c r="D2" s="87"/>
      <c r="E2" s="87"/>
      <c r="F2" s="87"/>
      <c r="G2" s="87"/>
      <c r="H2" s="87"/>
      <c r="I2" s="87"/>
      <c r="J2" s="87"/>
      <c r="K2" s="87"/>
      <c r="L2" s="87"/>
      <c r="M2" s="87"/>
      <c r="N2" s="87"/>
      <c r="O2" s="87"/>
    </row>
    <row r="5" spans="2:24" ht="18.75">
      <c r="B5" s="88" t="s">
        <v>3731</v>
      </c>
      <c r="C5" s="87"/>
      <c r="D5" s="87"/>
      <c r="E5" s="87"/>
      <c r="F5" s="87"/>
      <c r="G5" s="87"/>
      <c r="H5" s="87"/>
      <c r="I5" s="87"/>
      <c r="J5" s="87"/>
      <c r="K5" s="87"/>
      <c r="L5" s="87"/>
    </row>
    <row r="9" spans="2:24">
      <c r="B9" s="89" t="s">
        <v>3374</v>
      </c>
      <c r="C9" s="89" t="s">
        <v>3582</v>
      </c>
      <c r="D9" s="92" t="s">
        <v>2877</v>
      </c>
      <c r="E9" s="93"/>
      <c r="F9" s="93"/>
      <c r="G9" s="93"/>
      <c r="H9" s="93"/>
      <c r="I9" s="93"/>
      <c r="J9" s="93"/>
      <c r="K9" s="93"/>
      <c r="L9" s="94"/>
    </row>
    <row r="10" spans="2:24">
      <c r="B10" s="90"/>
      <c r="C10" s="90"/>
      <c r="D10" s="95"/>
      <c r="E10" s="96"/>
      <c r="F10" s="96"/>
      <c r="G10" s="96"/>
      <c r="H10" s="96"/>
      <c r="I10" s="96"/>
      <c r="J10" s="96"/>
      <c r="K10" s="96"/>
      <c r="L10" s="97"/>
    </row>
    <row r="11" spans="2:24" ht="60">
      <c r="B11" s="90"/>
      <c r="C11" s="90"/>
      <c r="D11" s="98" t="s">
        <v>3732</v>
      </c>
      <c r="E11" s="100"/>
      <c r="F11" s="100"/>
      <c r="G11" s="100"/>
      <c r="H11" s="100"/>
      <c r="I11" s="100"/>
      <c r="J11" s="100"/>
      <c r="K11" s="99"/>
      <c r="L11" s="55" t="s">
        <v>3735</v>
      </c>
    </row>
    <row r="12" spans="2:24" ht="45">
      <c r="B12" s="91"/>
      <c r="C12" s="91"/>
      <c r="D12" s="55" t="s">
        <v>3733</v>
      </c>
      <c r="E12" s="55" t="s">
        <v>3734</v>
      </c>
      <c r="F12" s="55" t="s">
        <v>3587</v>
      </c>
      <c r="G12" s="55" t="s">
        <v>3589</v>
      </c>
      <c r="H12" s="55" t="s">
        <v>3590</v>
      </c>
      <c r="I12" s="55" t="s">
        <v>3591</v>
      </c>
      <c r="J12" s="55" t="s">
        <v>3656</v>
      </c>
      <c r="K12" s="55" t="s">
        <v>3595</v>
      </c>
      <c r="L12" s="55" t="s">
        <v>3736</v>
      </c>
    </row>
    <row r="13" spans="2:24">
      <c r="B13" s="42" t="s">
        <v>3608</v>
      </c>
      <c r="C13" s="42" t="s">
        <v>3223</v>
      </c>
      <c r="D13" s="42" t="s">
        <v>3231</v>
      </c>
      <c r="E13" s="42" t="s">
        <v>3233</v>
      </c>
      <c r="F13" s="42" t="s">
        <v>3234</v>
      </c>
      <c r="G13" s="42" t="s">
        <v>3236</v>
      </c>
      <c r="H13" s="42" t="s">
        <v>3239</v>
      </c>
      <c r="I13" s="42" t="s">
        <v>3241</v>
      </c>
      <c r="J13" s="42" t="s">
        <v>3243</v>
      </c>
      <c r="K13" s="42" t="s">
        <v>3375</v>
      </c>
      <c r="L13" s="42" t="s">
        <v>3475</v>
      </c>
      <c r="W13" s="13" t="str">
        <f>Show!$B$68&amp;"S.11.01.01.01 Rows {"&amp;COLUMN($B$1)&amp;"}"&amp;"@ForceFilingCode:true"</f>
        <v>!S.11.01.01.01 Rows {2}@ForceFilingCode:true</v>
      </c>
      <c r="X13" s="13" t="str">
        <f>Show!$B$68&amp;"S.11.01.01.01 Columns {"&amp;COLUMN($B$1)&amp;"}"</f>
        <v>!S.11.01.01.01 Columns {2}</v>
      </c>
    </row>
    <row r="14" spans="2:24">
      <c r="B14" s="50"/>
      <c r="C14" s="50"/>
      <c r="D14" s="51"/>
      <c r="E14" s="51"/>
      <c r="F14" s="51"/>
      <c r="G14" s="69"/>
      <c r="H14" s="60"/>
      <c r="I14" s="51"/>
      <c r="J14" s="60"/>
      <c r="K14" s="60"/>
      <c r="L14" s="51"/>
    </row>
    <row r="16" spans="2:24">
      <c r="W16" s="13" t="str">
        <f>Show!$B$68&amp;Show!$B$68&amp;"S.11.01.01.01 Rows {"&amp;COLUMN($B$1)&amp;"}"</f>
        <v>!!S.11.01.01.01 Rows {2}</v>
      </c>
      <c r="X16" s="13" t="str">
        <f>Show!$B$68&amp;Show!$B$68&amp;"S.11.01.01.01 Columns {"&amp;COLUMN($L$1)&amp;"}"</f>
        <v>!!S.11.01.01.01 Columns {12}</v>
      </c>
    </row>
    <row r="18" spans="2:24" ht="18.75">
      <c r="B18" s="88" t="s">
        <v>3737</v>
      </c>
      <c r="C18" s="87"/>
      <c r="D18" s="87"/>
      <c r="E18" s="87"/>
      <c r="F18" s="87"/>
      <c r="G18" s="87"/>
      <c r="H18" s="87"/>
      <c r="I18" s="87"/>
      <c r="J18" s="87"/>
      <c r="K18" s="87"/>
      <c r="L18" s="87"/>
    </row>
    <row r="22" spans="2:24">
      <c r="B22" s="89" t="s">
        <v>3582</v>
      </c>
      <c r="C22" s="92" t="s">
        <v>2877</v>
      </c>
      <c r="D22" s="93"/>
      <c r="E22" s="93"/>
      <c r="F22" s="93"/>
      <c r="G22" s="93"/>
      <c r="H22" s="93"/>
      <c r="I22" s="93"/>
      <c r="J22" s="93"/>
      <c r="K22" s="93"/>
      <c r="L22" s="93"/>
      <c r="M22" s="93"/>
      <c r="N22" s="94"/>
    </row>
    <row r="23" spans="2:24">
      <c r="B23" s="90"/>
      <c r="C23" s="95"/>
      <c r="D23" s="96"/>
      <c r="E23" s="96"/>
      <c r="F23" s="96"/>
      <c r="G23" s="96"/>
      <c r="H23" s="96"/>
      <c r="I23" s="96"/>
      <c r="J23" s="96"/>
      <c r="K23" s="96"/>
      <c r="L23" s="96"/>
      <c r="M23" s="96"/>
      <c r="N23" s="97"/>
    </row>
    <row r="24" spans="2:24">
      <c r="B24" s="90"/>
      <c r="C24" s="98" t="s">
        <v>3732</v>
      </c>
      <c r="D24" s="100"/>
      <c r="E24" s="100"/>
      <c r="F24" s="100"/>
      <c r="G24" s="100"/>
      <c r="H24" s="100"/>
      <c r="I24" s="100"/>
      <c r="J24" s="100"/>
      <c r="K24" s="100"/>
      <c r="L24" s="100"/>
      <c r="M24" s="100"/>
      <c r="N24" s="99"/>
    </row>
    <row r="25" spans="2:24" ht="45">
      <c r="B25" s="91"/>
      <c r="C25" s="55" t="s">
        <v>3598</v>
      </c>
      <c r="D25" s="55" t="s">
        <v>3600</v>
      </c>
      <c r="E25" s="55" t="s">
        <v>3601</v>
      </c>
      <c r="F25" s="55" t="s">
        <v>3602</v>
      </c>
      <c r="G25" s="55" t="s">
        <v>3738</v>
      </c>
      <c r="H25" s="55" t="s">
        <v>3604</v>
      </c>
      <c r="I25" s="55" t="s">
        <v>3605</v>
      </c>
      <c r="J25" s="55" t="s">
        <v>3606</v>
      </c>
      <c r="K25" s="55" t="s">
        <v>3607</v>
      </c>
      <c r="L25" s="55" t="s">
        <v>3739</v>
      </c>
      <c r="M25" s="55" t="s">
        <v>3625</v>
      </c>
      <c r="N25" s="55" t="s">
        <v>3627</v>
      </c>
    </row>
    <row r="26" spans="2:24">
      <c r="B26" s="42" t="s">
        <v>3223</v>
      </c>
      <c r="C26" s="42" t="s">
        <v>3477</v>
      </c>
      <c r="D26" s="42" t="s">
        <v>3479</v>
      </c>
      <c r="E26" s="42" t="s">
        <v>3594</v>
      </c>
      <c r="F26" s="42" t="s">
        <v>3599</v>
      </c>
      <c r="G26" s="42" t="s">
        <v>3481</v>
      </c>
      <c r="H26" s="42" t="s">
        <v>3508</v>
      </c>
      <c r="I26" s="42" t="s">
        <v>3511</v>
      </c>
      <c r="J26" s="42" t="s">
        <v>3513</v>
      </c>
      <c r="K26" s="42" t="s">
        <v>3514</v>
      </c>
      <c r="L26" s="42" t="s">
        <v>3515</v>
      </c>
      <c r="M26" s="42" t="s">
        <v>3517</v>
      </c>
      <c r="N26" s="42" t="s">
        <v>3518</v>
      </c>
      <c r="W26" s="13" t="str">
        <f>Show!$B$68&amp;"S.11.01.01.02 Rows {"&amp;COLUMN($B$1)&amp;"}"&amp;"@ForceFilingCode:true"</f>
        <v>!S.11.01.01.02 Rows {2}@ForceFilingCode:true</v>
      </c>
      <c r="X26" s="13" t="str">
        <f>Show!$B$68&amp;"S.11.01.01.02 Columns {"&amp;COLUMN($B$1)&amp;"}"</f>
        <v>!S.11.01.01.02 Columns {2}</v>
      </c>
    </row>
    <row r="27" spans="2:24">
      <c r="B27" s="50"/>
      <c r="C27" s="51"/>
      <c r="D27" s="51"/>
      <c r="E27" s="51"/>
      <c r="F27" s="51"/>
      <c r="G27" s="51"/>
      <c r="H27" s="51"/>
      <c r="I27" s="51"/>
      <c r="J27" s="51"/>
      <c r="K27" s="51"/>
      <c r="L27" s="60"/>
      <c r="M27" s="70"/>
      <c r="N27" s="54"/>
    </row>
    <row r="29" spans="2:24">
      <c r="W29" s="13" t="str">
        <f>Show!$B$68&amp;Show!$B$68&amp;"S.11.01.01.02 Rows {"&amp;COLUMN($B$1)&amp;"}"</f>
        <v>!!S.11.01.01.02 Rows {2}</v>
      </c>
      <c r="X29" s="13" t="str">
        <f>Show!$B$68&amp;Show!$B$68&amp;"S.11.01.01.02 Columns {"&amp;COLUMN($N$1)&amp;"}"</f>
        <v>!!S.11.01.01.02 Columns {14}</v>
      </c>
    </row>
  </sheetData>
  <sheetProtection sheet="1" objects="1" scenarios="1"/>
  <mergeCells count="10">
    <mergeCell ref="B18:L18"/>
    <mergeCell ref="B22:B25"/>
    <mergeCell ref="C22:N23"/>
    <mergeCell ref="C24:N24"/>
    <mergeCell ref="B2:O2"/>
    <mergeCell ref="B5:L5"/>
    <mergeCell ref="B9:B12"/>
    <mergeCell ref="C9:C12"/>
    <mergeCell ref="D9:L10"/>
    <mergeCell ref="D11:K11"/>
  </mergeCells>
  <dataValidations count="7">
    <dataValidation type="list" errorStyle="warning" allowBlank="1" showInputMessage="1" showErrorMessage="1" sqref="F14" xr:uid="{3BB77303-FA1A-44FD-83C0-D8BE90818424}">
      <formula1>hier_GA_1</formula1>
    </dataValidation>
    <dataValidation type="list" errorStyle="warning" allowBlank="1" showInputMessage="1" showErrorMessage="1" sqref="I14" xr:uid="{3C1569B1-A392-453C-A3B7-EC137BF7209C}">
      <formula1>hier_VM_23</formula1>
    </dataValidation>
    <dataValidation type="list" errorStyle="warning" allowBlank="1" showInputMessage="1" showErrorMessage="1" sqref="L14" xr:uid="{F041C1CF-3278-40E1-946D-54385867473E}">
      <formula1>hier_MC_31</formula1>
    </dataValidation>
    <dataValidation type="list" errorStyle="warning" allowBlank="1" showInputMessage="1" showErrorMessage="1" sqref="F27" xr:uid="{CDC8E602-B4AA-43DF-91C3-46D4A5A6CEED}">
      <formula1>hier_NC_1</formula1>
    </dataValidation>
    <dataValidation type="list" errorStyle="warning" allowBlank="1" showInputMessage="1" showErrorMessage="1" sqref="I27" xr:uid="{70C0E519-A6F4-45DA-8F71-B42A000428F4}">
      <formula1>hier_GA_4</formula1>
    </dataValidation>
    <dataValidation type="list" errorStyle="warning" allowBlank="1" showInputMessage="1" showErrorMessage="1" sqref="J27" xr:uid="{21928956-E236-4E43-B755-7F03EF290E34}">
      <formula1>hier_CU_1</formula1>
    </dataValidation>
    <dataValidation type="date" operator="greaterThan" allowBlank="1" showInputMessage="1" showErrorMessage="1" errorTitle="Date value" error="This cell can only contain dates" sqref="N27" xr:uid="{4BA79E89-A323-44B7-84F4-14640AF48CF7}">
      <formula1>1</formula1>
    </dataValidation>
  </dataValidation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B5DA9-58B0-4513-B430-287099768B1F}">
  <sheetPr codeName="Blad73"/>
  <dimension ref="B2:AA29"/>
  <sheetViews>
    <sheetView showGridLines="0" workbookViewId="0"/>
  </sheetViews>
  <sheetFormatPr defaultRowHeight="15"/>
  <cols>
    <col min="2" max="2" width="29.140625" bestFit="1" customWidth="1"/>
    <col min="3" max="11" width="40.7109375" customWidth="1"/>
    <col min="12" max="14" width="15.7109375" customWidth="1"/>
  </cols>
  <sheetData>
    <row r="2" spans="2:27" ht="23.25">
      <c r="B2" s="86" t="s">
        <v>612</v>
      </c>
      <c r="C2" s="87"/>
      <c r="D2" s="87"/>
      <c r="E2" s="87"/>
      <c r="F2" s="87"/>
      <c r="G2" s="87"/>
      <c r="H2" s="87"/>
      <c r="I2" s="87"/>
      <c r="J2" s="87"/>
      <c r="K2" s="87"/>
      <c r="L2" s="87"/>
      <c r="M2" s="87"/>
      <c r="N2" s="87"/>
      <c r="O2" s="87"/>
    </row>
    <row r="5" spans="2:27" ht="18.75">
      <c r="B5" s="88" t="s">
        <v>3740</v>
      </c>
      <c r="C5" s="87"/>
      <c r="D5" s="87"/>
      <c r="E5" s="87"/>
      <c r="F5" s="87"/>
      <c r="G5" s="87"/>
      <c r="H5" s="87"/>
      <c r="I5" s="87"/>
      <c r="J5" s="87"/>
      <c r="K5" s="87"/>
      <c r="L5" s="87"/>
    </row>
    <row r="9" spans="2:27">
      <c r="B9" s="89" t="s">
        <v>3374</v>
      </c>
      <c r="C9" s="89" t="s">
        <v>3245</v>
      </c>
      <c r="D9" s="89" t="s">
        <v>3582</v>
      </c>
      <c r="E9" s="92" t="s">
        <v>2877</v>
      </c>
      <c r="F9" s="93"/>
      <c r="G9" s="93"/>
      <c r="H9" s="93"/>
      <c r="I9" s="93"/>
      <c r="J9" s="93"/>
      <c r="K9" s="93"/>
      <c r="L9" s="93"/>
      <c r="M9" s="93"/>
      <c r="N9" s="94"/>
    </row>
    <row r="10" spans="2:27">
      <c r="B10" s="90"/>
      <c r="C10" s="90"/>
      <c r="D10" s="90"/>
      <c r="E10" s="95"/>
      <c r="F10" s="96"/>
      <c r="G10" s="96"/>
      <c r="H10" s="96"/>
      <c r="I10" s="96"/>
      <c r="J10" s="96"/>
      <c r="K10" s="96"/>
      <c r="L10" s="96"/>
      <c r="M10" s="96"/>
      <c r="N10" s="97"/>
    </row>
    <row r="11" spans="2:27" ht="60">
      <c r="B11" s="90"/>
      <c r="C11" s="90"/>
      <c r="D11" s="90"/>
      <c r="E11" s="98" t="s">
        <v>3732</v>
      </c>
      <c r="F11" s="100"/>
      <c r="G11" s="100"/>
      <c r="H11" s="100"/>
      <c r="I11" s="100"/>
      <c r="J11" s="100"/>
      <c r="K11" s="100"/>
      <c r="L11" s="100"/>
      <c r="M11" s="99"/>
      <c r="N11" s="55" t="s">
        <v>3735</v>
      </c>
    </row>
    <row r="12" spans="2:27" ht="45">
      <c r="B12" s="91"/>
      <c r="C12" s="91"/>
      <c r="D12" s="91"/>
      <c r="E12" s="55" t="s">
        <v>3246</v>
      </c>
      <c r="F12" s="55" t="s">
        <v>3733</v>
      </c>
      <c r="G12" s="55" t="s">
        <v>3734</v>
      </c>
      <c r="H12" s="55" t="s">
        <v>3587</v>
      </c>
      <c r="I12" s="55" t="s">
        <v>3589</v>
      </c>
      <c r="J12" s="55" t="s">
        <v>3590</v>
      </c>
      <c r="K12" s="55" t="s">
        <v>3591</v>
      </c>
      <c r="L12" s="55" t="s">
        <v>3656</v>
      </c>
      <c r="M12" s="55" t="s">
        <v>3595</v>
      </c>
      <c r="N12" s="55" t="s">
        <v>3736</v>
      </c>
    </row>
    <row r="13" spans="2:27">
      <c r="B13" s="42" t="s">
        <v>3608</v>
      </c>
      <c r="C13" s="42" t="s">
        <v>3219</v>
      </c>
      <c r="D13" s="42" t="s">
        <v>3223</v>
      </c>
      <c r="E13" s="42" t="s">
        <v>2879</v>
      </c>
      <c r="F13" s="42" t="s">
        <v>3231</v>
      </c>
      <c r="G13" s="42" t="s">
        <v>3233</v>
      </c>
      <c r="H13" s="42" t="s">
        <v>3234</v>
      </c>
      <c r="I13" s="42" t="s">
        <v>3236</v>
      </c>
      <c r="J13" s="42" t="s">
        <v>3239</v>
      </c>
      <c r="K13" s="42" t="s">
        <v>3241</v>
      </c>
      <c r="L13" s="42" t="s">
        <v>3243</v>
      </c>
      <c r="M13" s="42" t="s">
        <v>3375</v>
      </c>
      <c r="N13" s="42" t="s">
        <v>3475</v>
      </c>
      <c r="Z13" s="13" t="str">
        <f>Show!$B$69&amp;"S.11.01.04.01 Rows {"&amp;COLUMN($B$1)&amp;"}"&amp;"@ForceFilingCode:true"</f>
        <v>!S.11.01.04.01 Rows {2}@ForceFilingCode:true</v>
      </c>
      <c r="AA13" s="13" t="str">
        <f>Show!$B$69&amp;"S.11.01.04.01 Columns {"&amp;COLUMN($B$1)&amp;"}"</f>
        <v>!S.11.01.04.01 Columns {2}</v>
      </c>
    </row>
    <row r="14" spans="2:27">
      <c r="B14" s="50"/>
      <c r="C14" s="50"/>
      <c r="D14" s="50"/>
      <c r="E14" s="51"/>
      <c r="F14" s="51"/>
      <c r="G14" s="51"/>
      <c r="H14" s="51"/>
      <c r="I14" s="69"/>
      <c r="J14" s="60"/>
      <c r="K14" s="51"/>
      <c r="L14" s="60"/>
      <c r="M14" s="60"/>
      <c r="N14" s="51"/>
    </row>
    <row r="16" spans="2:27">
      <c r="Z16" s="13" t="str">
        <f>Show!$B$69&amp;Show!$B$69&amp;"S.11.01.04.01 Rows {"&amp;COLUMN($B$1)&amp;"}"</f>
        <v>!!S.11.01.04.01 Rows {2}</v>
      </c>
      <c r="AA16" s="13" t="str">
        <f>Show!$B$69&amp;Show!$B$69&amp;"S.11.01.04.01 Columns {"&amp;COLUMN($N$1)&amp;"}"</f>
        <v>!!S.11.01.04.01 Columns {14}</v>
      </c>
    </row>
    <row r="18" spans="2:27" ht="18.75">
      <c r="B18" s="88" t="s">
        <v>3741</v>
      </c>
      <c r="C18" s="87"/>
      <c r="D18" s="87"/>
      <c r="E18" s="87"/>
      <c r="F18" s="87"/>
      <c r="G18" s="87"/>
      <c r="H18" s="87"/>
      <c r="I18" s="87"/>
      <c r="J18" s="87"/>
      <c r="K18" s="87"/>
      <c r="L18" s="87"/>
    </row>
    <row r="22" spans="2:27">
      <c r="B22" s="89" t="s">
        <v>3582</v>
      </c>
      <c r="C22" s="92" t="s">
        <v>2877</v>
      </c>
      <c r="D22" s="93"/>
      <c r="E22" s="93"/>
      <c r="F22" s="93"/>
      <c r="G22" s="93"/>
      <c r="H22" s="93"/>
      <c r="I22" s="93"/>
      <c r="J22" s="93"/>
      <c r="K22" s="93"/>
      <c r="L22" s="93"/>
      <c r="M22" s="93"/>
      <c r="N22" s="94"/>
    </row>
    <row r="23" spans="2:27">
      <c r="B23" s="90"/>
      <c r="C23" s="95"/>
      <c r="D23" s="96"/>
      <c r="E23" s="96"/>
      <c r="F23" s="96"/>
      <c r="G23" s="96"/>
      <c r="H23" s="96"/>
      <c r="I23" s="96"/>
      <c r="J23" s="96"/>
      <c r="K23" s="96"/>
      <c r="L23" s="96"/>
      <c r="M23" s="96"/>
      <c r="N23" s="97"/>
    </row>
    <row r="24" spans="2:27">
      <c r="B24" s="90"/>
      <c r="C24" s="98" t="s">
        <v>3732</v>
      </c>
      <c r="D24" s="100"/>
      <c r="E24" s="100"/>
      <c r="F24" s="100"/>
      <c r="G24" s="100"/>
      <c r="H24" s="100"/>
      <c r="I24" s="100"/>
      <c r="J24" s="100"/>
      <c r="K24" s="100"/>
      <c r="L24" s="100"/>
      <c r="M24" s="100"/>
      <c r="N24" s="99"/>
    </row>
    <row r="25" spans="2:27" ht="45">
      <c r="B25" s="91"/>
      <c r="C25" s="55" t="s">
        <v>3598</v>
      </c>
      <c r="D25" s="55" t="s">
        <v>3600</v>
      </c>
      <c r="E25" s="55" t="s">
        <v>3601</v>
      </c>
      <c r="F25" s="55" t="s">
        <v>3602</v>
      </c>
      <c r="G25" s="55" t="s">
        <v>3738</v>
      </c>
      <c r="H25" s="55" t="s">
        <v>3604</v>
      </c>
      <c r="I25" s="55" t="s">
        <v>3605</v>
      </c>
      <c r="J25" s="55" t="s">
        <v>3606</v>
      </c>
      <c r="K25" s="55" t="s">
        <v>3607</v>
      </c>
      <c r="L25" s="55" t="s">
        <v>3739</v>
      </c>
      <c r="M25" s="55" t="s">
        <v>3625</v>
      </c>
      <c r="N25" s="55" t="s">
        <v>3627</v>
      </c>
    </row>
    <row r="26" spans="2:27">
      <c r="B26" s="42" t="s">
        <v>3223</v>
      </c>
      <c r="C26" s="42" t="s">
        <v>3477</v>
      </c>
      <c r="D26" s="42" t="s">
        <v>3479</v>
      </c>
      <c r="E26" s="42" t="s">
        <v>3594</v>
      </c>
      <c r="F26" s="42" t="s">
        <v>3599</v>
      </c>
      <c r="G26" s="42" t="s">
        <v>3481</v>
      </c>
      <c r="H26" s="42" t="s">
        <v>3508</v>
      </c>
      <c r="I26" s="42" t="s">
        <v>3511</v>
      </c>
      <c r="J26" s="42" t="s">
        <v>3513</v>
      </c>
      <c r="K26" s="42" t="s">
        <v>3514</v>
      </c>
      <c r="L26" s="42" t="s">
        <v>3515</v>
      </c>
      <c r="M26" s="42" t="s">
        <v>3517</v>
      </c>
      <c r="N26" s="42" t="s">
        <v>3518</v>
      </c>
      <c r="Z26" s="13" t="str">
        <f>Show!$B$69&amp;"S.11.01.04.02 Rows {"&amp;COLUMN($B$1)&amp;"}"&amp;"@ForceFilingCode:true"</f>
        <v>!S.11.01.04.02 Rows {2}@ForceFilingCode:true</v>
      </c>
      <c r="AA26" s="13" t="str">
        <f>Show!$B$69&amp;"S.11.01.04.02 Columns {"&amp;COLUMN($B$1)&amp;"}"</f>
        <v>!S.11.01.04.02 Columns {2}</v>
      </c>
    </row>
    <row r="27" spans="2:27">
      <c r="B27" s="50"/>
      <c r="C27" s="51"/>
      <c r="D27" s="51"/>
      <c r="E27" s="51"/>
      <c r="F27" s="51"/>
      <c r="G27" s="51"/>
      <c r="H27" s="51"/>
      <c r="I27" s="51"/>
      <c r="J27" s="51"/>
      <c r="K27" s="51"/>
      <c r="L27" s="60"/>
      <c r="M27" s="70"/>
      <c r="N27" s="54"/>
    </row>
    <row r="29" spans="2:27">
      <c r="Z29" s="13" t="str">
        <f>Show!$B$69&amp;Show!$B$69&amp;"S.11.01.04.02 Rows {"&amp;COLUMN($B$1)&amp;"}"</f>
        <v>!!S.11.01.04.02 Rows {2}</v>
      </c>
      <c r="AA29" s="13" t="str">
        <f>Show!$B$69&amp;Show!$B$69&amp;"S.11.01.04.02 Columns {"&amp;COLUMN($N$1)&amp;"}"</f>
        <v>!!S.11.01.04.02 Columns {14}</v>
      </c>
    </row>
  </sheetData>
  <sheetProtection sheet="1" objects="1" scenarios="1"/>
  <mergeCells count="11">
    <mergeCell ref="B18:L18"/>
    <mergeCell ref="B22:B25"/>
    <mergeCell ref="C22:N23"/>
    <mergeCell ref="C24:N24"/>
    <mergeCell ref="B2:O2"/>
    <mergeCell ref="B5:L5"/>
    <mergeCell ref="B9:B12"/>
    <mergeCell ref="C9:C12"/>
    <mergeCell ref="D9:D12"/>
    <mergeCell ref="E9:N10"/>
    <mergeCell ref="E11:M11"/>
  </mergeCells>
  <dataValidations count="7">
    <dataValidation type="list" errorStyle="warning" allowBlank="1" showInputMessage="1" showErrorMessage="1" sqref="H14" xr:uid="{85EFD6CC-B5B2-46B7-ABD9-387B5F698879}">
      <formula1>hier_GA_1</formula1>
    </dataValidation>
    <dataValidation type="list" errorStyle="warning" allowBlank="1" showInputMessage="1" showErrorMessage="1" sqref="K14" xr:uid="{F18B043D-4363-4FB5-96E4-7483F939F1D0}">
      <formula1>hier_VM_23</formula1>
    </dataValidation>
    <dataValidation type="list" errorStyle="warning" allowBlank="1" showInputMessage="1" showErrorMessage="1" sqref="N14" xr:uid="{C30572F6-2C21-4158-8E30-E1083100AD28}">
      <formula1>hier_MC_31</formula1>
    </dataValidation>
    <dataValidation type="list" errorStyle="warning" allowBlank="1" showInputMessage="1" showErrorMessage="1" sqref="F27" xr:uid="{0DCDF5D6-AA17-430E-BFC6-AE2EB1A1DEDC}">
      <formula1>hier_NC_1</formula1>
    </dataValidation>
    <dataValidation type="list" errorStyle="warning" allowBlank="1" showInputMessage="1" showErrorMessage="1" sqref="I27" xr:uid="{21CC30ED-3FFF-4C88-84FC-304B51457045}">
      <formula1>hier_GA_4</formula1>
    </dataValidation>
    <dataValidation type="list" errorStyle="warning" allowBlank="1" showInputMessage="1" showErrorMessage="1" sqref="J27" xr:uid="{68E70046-8904-409C-8C0F-72311649DB5D}">
      <formula1>hier_CU_1</formula1>
    </dataValidation>
    <dataValidation type="date" operator="greaterThan" allowBlank="1" showInputMessage="1" showErrorMessage="1" errorTitle="Date value" error="This cell can only contain dates" sqref="N27" xr:uid="{56C998E0-4888-4C19-B404-EB4F5BA10154}">
      <formula1>1</formula1>
    </dataValidation>
  </dataValidation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3CA5E-DA4B-4D9F-A120-0AD59177AB7A}">
  <sheetPr codeName="Blad74"/>
  <dimension ref="B2:AG54"/>
  <sheetViews>
    <sheetView showGridLines="0" workbookViewId="0"/>
  </sheetViews>
  <sheetFormatPr defaultRowHeight="15"/>
  <cols>
    <col min="2" max="2" width="85.140625" bestFit="1" customWidth="1"/>
    <col min="4" max="23" width="15.7109375" customWidth="1"/>
  </cols>
  <sheetData>
    <row r="2" spans="2:33" ht="23.25">
      <c r="B2" s="86" t="s">
        <v>615</v>
      </c>
      <c r="C2" s="87"/>
      <c r="D2" s="87"/>
      <c r="E2" s="87"/>
      <c r="F2" s="87"/>
      <c r="G2" s="87"/>
      <c r="H2" s="87"/>
      <c r="I2" s="87"/>
      <c r="J2" s="87"/>
      <c r="K2" s="87"/>
      <c r="L2" s="87"/>
      <c r="M2" s="87"/>
      <c r="N2" s="87"/>
      <c r="O2" s="87"/>
    </row>
    <row r="5" spans="2:33" ht="18.75">
      <c r="B5" s="88" t="s">
        <v>3742</v>
      </c>
      <c r="C5" s="87"/>
      <c r="D5" s="87"/>
      <c r="E5" s="87"/>
      <c r="F5" s="87"/>
      <c r="G5" s="87"/>
      <c r="H5" s="87"/>
      <c r="I5" s="87"/>
      <c r="J5" s="87"/>
      <c r="K5" s="87"/>
      <c r="L5" s="87"/>
    </row>
    <row r="9" spans="2:33">
      <c r="D9" s="92" t="s">
        <v>2877</v>
      </c>
      <c r="E9" s="93"/>
      <c r="F9" s="93"/>
      <c r="G9" s="93"/>
      <c r="H9" s="93"/>
      <c r="I9" s="93"/>
      <c r="J9" s="93"/>
      <c r="K9" s="93"/>
      <c r="L9" s="93"/>
      <c r="M9" s="93"/>
      <c r="N9" s="93"/>
      <c r="O9" s="93"/>
      <c r="P9" s="93"/>
      <c r="Q9" s="93"/>
      <c r="R9" s="93"/>
      <c r="S9" s="93"/>
      <c r="T9" s="93"/>
      <c r="U9" s="93"/>
      <c r="V9" s="93"/>
      <c r="W9" s="94"/>
    </row>
    <row r="10" spans="2:33">
      <c r="D10" s="95"/>
      <c r="E10" s="96"/>
      <c r="F10" s="96"/>
      <c r="G10" s="96"/>
      <c r="H10" s="96"/>
      <c r="I10" s="96"/>
      <c r="J10" s="96"/>
      <c r="K10" s="96"/>
      <c r="L10" s="96"/>
      <c r="M10" s="96"/>
      <c r="N10" s="96"/>
      <c r="O10" s="96"/>
      <c r="P10" s="96"/>
      <c r="Q10" s="96"/>
      <c r="R10" s="96"/>
      <c r="S10" s="96"/>
      <c r="T10" s="96"/>
      <c r="U10" s="96"/>
      <c r="V10" s="96"/>
      <c r="W10" s="97"/>
    </row>
    <row r="11" spans="2:33">
      <c r="D11" s="89" t="s">
        <v>1264</v>
      </c>
      <c r="E11" s="92" t="s">
        <v>3510</v>
      </c>
      <c r="F11" s="100"/>
      <c r="G11" s="99"/>
      <c r="H11" s="92" t="s">
        <v>3512</v>
      </c>
      <c r="I11" s="100"/>
      <c r="J11" s="99"/>
      <c r="K11" s="89" t="s">
        <v>3745</v>
      </c>
      <c r="L11" s="92" t="s">
        <v>3746</v>
      </c>
      <c r="M11" s="100"/>
      <c r="N11" s="100"/>
      <c r="O11" s="100"/>
      <c r="P11" s="99"/>
      <c r="Q11" s="89" t="s">
        <v>3748</v>
      </c>
      <c r="R11" s="92" t="s">
        <v>3749</v>
      </c>
      <c r="S11" s="100"/>
      <c r="T11" s="99"/>
      <c r="U11" s="89" t="s">
        <v>1267</v>
      </c>
      <c r="V11" s="89" t="s">
        <v>3750</v>
      </c>
      <c r="W11" s="89" t="s">
        <v>3751</v>
      </c>
    </row>
    <row r="12" spans="2:33">
      <c r="D12" s="90"/>
      <c r="E12" s="90"/>
      <c r="F12" s="89" t="s">
        <v>3743</v>
      </c>
      <c r="G12" s="89" t="s">
        <v>3744</v>
      </c>
      <c r="H12" s="90"/>
      <c r="I12" s="89" t="s">
        <v>3743</v>
      </c>
      <c r="J12" s="89" t="s">
        <v>3744</v>
      </c>
      <c r="K12" s="90"/>
      <c r="L12" s="90"/>
      <c r="M12" s="89" t="s">
        <v>1264</v>
      </c>
      <c r="N12" s="89" t="s">
        <v>3510</v>
      </c>
      <c r="O12" s="89" t="s">
        <v>3512</v>
      </c>
      <c r="P12" s="89" t="s">
        <v>3747</v>
      </c>
      <c r="Q12" s="90"/>
      <c r="R12" s="90"/>
      <c r="S12" s="89" t="s">
        <v>3743</v>
      </c>
      <c r="T12" s="89" t="s">
        <v>3744</v>
      </c>
      <c r="U12" s="90"/>
      <c r="V12" s="90"/>
      <c r="W12" s="90"/>
    </row>
    <row r="13" spans="2:33">
      <c r="D13" s="90"/>
      <c r="E13" s="90"/>
      <c r="F13" s="90"/>
      <c r="G13" s="90"/>
      <c r="H13" s="90"/>
      <c r="I13" s="90"/>
      <c r="J13" s="90"/>
      <c r="K13" s="90"/>
      <c r="L13" s="90"/>
      <c r="M13" s="90"/>
      <c r="N13" s="90"/>
      <c r="O13" s="90"/>
      <c r="P13" s="90"/>
      <c r="Q13" s="90"/>
      <c r="R13" s="90"/>
      <c r="S13" s="90"/>
      <c r="T13" s="90"/>
      <c r="U13" s="90"/>
      <c r="V13" s="90"/>
      <c r="W13" s="90"/>
    </row>
    <row r="14" spans="2:33">
      <c r="D14" s="91"/>
      <c r="E14" s="91"/>
      <c r="F14" s="91"/>
      <c r="G14" s="91"/>
      <c r="H14" s="91"/>
      <c r="I14" s="91"/>
      <c r="J14" s="91"/>
      <c r="K14" s="91"/>
      <c r="L14" s="91"/>
      <c r="M14" s="91"/>
      <c r="N14" s="91"/>
      <c r="O14" s="91"/>
      <c r="P14" s="91"/>
      <c r="Q14" s="91"/>
      <c r="R14" s="91"/>
      <c r="S14" s="91"/>
      <c r="T14" s="91"/>
      <c r="U14" s="91"/>
      <c r="V14" s="91"/>
      <c r="W14" s="91"/>
    </row>
    <row r="15" spans="2:33">
      <c r="D15" s="45" t="s">
        <v>3219</v>
      </c>
      <c r="E15" s="45" t="s">
        <v>3225</v>
      </c>
      <c r="F15" s="45" t="s">
        <v>3223</v>
      </c>
      <c r="G15" s="45" t="s">
        <v>3229</v>
      </c>
      <c r="H15" s="45" t="s">
        <v>3231</v>
      </c>
      <c r="I15" s="45" t="s">
        <v>3233</v>
      </c>
      <c r="J15" s="45" t="s">
        <v>3234</v>
      </c>
      <c r="K15" s="45" t="s">
        <v>3236</v>
      </c>
      <c r="L15" s="45" t="s">
        <v>3239</v>
      </c>
      <c r="M15" s="45" t="s">
        <v>3241</v>
      </c>
      <c r="N15" s="45" t="s">
        <v>3243</v>
      </c>
      <c r="O15" s="45" t="s">
        <v>3375</v>
      </c>
      <c r="P15" s="45" t="s">
        <v>3475</v>
      </c>
      <c r="Q15" s="45" t="s">
        <v>3477</v>
      </c>
      <c r="R15" s="45" t="s">
        <v>3479</v>
      </c>
      <c r="S15" s="45" t="s">
        <v>3594</v>
      </c>
      <c r="T15" s="45" t="s">
        <v>3596</v>
      </c>
      <c r="U15" s="45" t="s">
        <v>3599</v>
      </c>
      <c r="V15" s="45" t="s">
        <v>3481</v>
      </c>
      <c r="W15" s="45" t="s">
        <v>3508</v>
      </c>
      <c r="AF15" s="13" t="str">
        <f>Show!$B$70&amp;"S.12.01.01.01 Rows {"&amp;COLUMN($C$1)&amp;"}"&amp;"@ForceFilingCode:true"</f>
        <v>!S.12.01.01.01 Rows {3}@ForceFilingCode:true</v>
      </c>
      <c r="AG15" s="13" t="str">
        <f>Show!$B$70&amp;"S.12.01.01.01 Columns {"&amp;COLUMN($D$1)&amp;"}"</f>
        <v>!S.12.01.01.01 Columns {4}</v>
      </c>
    </row>
    <row r="16" spans="2:33">
      <c r="B16" s="43" t="s">
        <v>2880</v>
      </c>
      <c r="C16" s="44" t="s">
        <v>2878</v>
      </c>
      <c r="D16" s="56"/>
      <c r="E16" s="66"/>
      <c r="F16" s="67"/>
      <c r="G16" s="67"/>
      <c r="H16" s="66"/>
      <c r="I16" s="67"/>
      <c r="J16" s="67"/>
      <c r="K16" s="66"/>
      <c r="L16" s="66"/>
      <c r="M16" s="66"/>
      <c r="N16" s="66"/>
      <c r="O16" s="66"/>
      <c r="P16" s="66"/>
      <c r="Q16" s="66"/>
      <c r="R16" s="66"/>
      <c r="S16" s="67"/>
      <c r="T16" s="67"/>
      <c r="U16" s="66"/>
      <c r="V16" s="66"/>
      <c r="W16" s="57"/>
    </row>
    <row r="17" spans="2:23">
      <c r="B17" s="47" t="s">
        <v>3291</v>
      </c>
      <c r="C17" s="41" t="s">
        <v>2883</v>
      </c>
      <c r="D17" s="60"/>
      <c r="E17" s="64"/>
      <c r="F17" s="58"/>
      <c r="G17" s="48"/>
      <c r="H17" s="64"/>
      <c r="I17" s="58"/>
      <c r="J17" s="48"/>
      <c r="K17" s="60"/>
      <c r="L17" s="60"/>
      <c r="M17" s="60"/>
      <c r="N17" s="60"/>
      <c r="O17" s="60"/>
      <c r="P17" s="60"/>
      <c r="Q17" s="60"/>
      <c r="R17" s="64"/>
      <c r="S17" s="58"/>
      <c r="T17" s="48"/>
      <c r="U17" s="60"/>
      <c r="V17" s="60"/>
      <c r="W17" s="60"/>
    </row>
    <row r="18" spans="2:23" ht="30">
      <c r="B18" s="47" t="s">
        <v>3752</v>
      </c>
      <c r="C18" s="41" t="s">
        <v>2885</v>
      </c>
      <c r="D18" s="63"/>
      <c r="E18" s="65"/>
      <c r="F18" s="58"/>
      <c r="G18" s="48"/>
      <c r="H18" s="65"/>
      <c r="I18" s="58"/>
      <c r="J18" s="48"/>
      <c r="K18" s="63"/>
      <c r="L18" s="63"/>
      <c r="M18" s="63"/>
      <c r="N18" s="63"/>
      <c r="O18" s="63"/>
      <c r="P18" s="63"/>
      <c r="Q18" s="63"/>
      <c r="R18" s="65"/>
      <c r="S18" s="58"/>
      <c r="T18" s="48"/>
      <c r="U18" s="63"/>
      <c r="V18" s="63"/>
      <c r="W18" s="63"/>
    </row>
    <row r="19" spans="2:23">
      <c r="B19" s="47" t="s">
        <v>3753</v>
      </c>
      <c r="C19" s="44" t="s">
        <v>2878</v>
      </c>
      <c r="D19" s="58"/>
      <c r="E19" s="67"/>
      <c r="F19" s="67"/>
      <c r="G19" s="67"/>
      <c r="H19" s="67"/>
      <c r="I19" s="67"/>
      <c r="J19" s="67"/>
      <c r="K19" s="67"/>
      <c r="L19" s="67"/>
      <c r="M19" s="67"/>
      <c r="N19" s="67"/>
      <c r="O19" s="67"/>
      <c r="P19" s="67"/>
      <c r="Q19" s="67"/>
      <c r="R19" s="67"/>
      <c r="S19" s="67"/>
      <c r="T19" s="67"/>
      <c r="U19" s="67"/>
      <c r="V19" s="67"/>
      <c r="W19" s="59"/>
    </row>
    <row r="20" spans="2:23">
      <c r="B20" s="49" t="s">
        <v>3292</v>
      </c>
      <c r="C20" s="44" t="s">
        <v>2878</v>
      </c>
      <c r="D20" s="56"/>
      <c r="E20" s="67"/>
      <c r="F20" s="66"/>
      <c r="G20" s="66"/>
      <c r="H20" s="67"/>
      <c r="I20" s="66"/>
      <c r="J20" s="66"/>
      <c r="K20" s="66"/>
      <c r="L20" s="66"/>
      <c r="M20" s="66"/>
      <c r="N20" s="66"/>
      <c r="O20" s="66"/>
      <c r="P20" s="66"/>
      <c r="Q20" s="66"/>
      <c r="R20" s="67"/>
      <c r="S20" s="66"/>
      <c r="T20" s="66"/>
      <c r="U20" s="66"/>
      <c r="V20" s="66"/>
      <c r="W20" s="57"/>
    </row>
    <row r="21" spans="2:23">
      <c r="B21" s="61" t="s">
        <v>3754</v>
      </c>
      <c r="C21" s="41" t="s">
        <v>2887</v>
      </c>
      <c r="D21" s="64"/>
      <c r="E21" s="48"/>
      <c r="F21" s="60"/>
      <c r="G21" s="64"/>
      <c r="H21" s="48"/>
      <c r="I21" s="60"/>
      <c r="J21" s="60"/>
      <c r="K21" s="60"/>
      <c r="L21" s="60"/>
      <c r="M21" s="63"/>
      <c r="N21" s="63"/>
      <c r="O21" s="63"/>
      <c r="P21" s="63"/>
      <c r="Q21" s="64"/>
      <c r="R21" s="48"/>
      <c r="S21" s="60"/>
      <c r="T21" s="60"/>
      <c r="U21" s="60"/>
      <c r="V21" s="60"/>
      <c r="W21" s="60"/>
    </row>
    <row r="22" spans="2:23" ht="30">
      <c r="B22" s="61" t="s">
        <v>3755</v>
      </c>
      <c r="C22" s="41" t="s">
        <v>2889</v>
      </c>
      <c r="D22" s="64"/>
      <c r="E22" s="48"/>
      <c r="F22" s="60"/>
      <c r="G22" s="64"/>
      <c r="H22" s="48"/>
      <c r="I22" s="60"/>
      <c r="J22" s="60"/>
      <c r="K22" s="60"/>
      <c r="L22" s="64"/>
      <c r="M22" s="58"/>
      <c r="N22" s="58"/>
      <c r="O22" s="58"/>
      <c r="P22" s="48"/>
      <c r="Q22" s="64"/>
      <c r="R22" s="48"/>
      <c r="S22" s="60"/>
      <c r="T22" s="60"/>
      <c r="U22" s="60"/>
      <c r="V22" s="60"/>
      <c r="W22" s="60"/>
    </row>
    <row r="23" spans="2:23" ht="30">
      <c r="B23" s="62" t="s">
        <v>3756</v>
      </c>
      <c r="C23" s="41" t="s">
        <v>3078</v>
      </c>
      <c r="D23" s="64"/>
      <c r="E23" s="48"/>
      <c r="F23" s="60"/>
      <c r="G23" s="64"/>
      <c r="H23" s="48"/>
      <c r="I23" s="60"/>
      <c r="J23" s="60"/>
      <c r="K23" s="60"/>
      <c r="L23" s="64"/>
      <c r="M23" s="58"/>
      <c r="N23" s="58"/>
      <c r="O23" s="58"/>
      <c r="P23" s="48"/>
      <c r="Q23" s="64"/>
      <c r="R23" s="48"/>
      <c r="S23" s="60"/>
      <c r="T23" s="60"/>
      <c r="U23" s="60"/>
      <c r="V23" s="60"/>
      <c r="W23" s="60"/>
    </row>
    <row r="24" spans="2:23">
      <c r="B24" s="62" t="s">
        <v>3757</v>
      </c>
      <c r="C24" s="41" t="s">
        <v>2891</v>
      </c>
      <c r="D24" s="64"/>
      <c r="E24" s="48"/>
      <c r="F24" s="60"/>
      <c r="G24" s="64"/>
      <c r="H24" s="48"/>
      <c r="I24" s="60"/>
      <c r="J24" s="60"/>
      <c r="K24" s="60"/>
      <c r="L24" s="64"/>
      <c r="M24" s="58"/>
      <c r="N24" s="58"/>
      <c r="O24" s="58"/>
      <c r="P24" s="48"/>
      <c r="Q24" s="64"/>
      <c r="R24" s="48"/>
      <c r="S24" s="60"/>
      <c r="T24" s="60"/>
      <c r="U24" s="60"/>
      <c r="V24" s="60"/>
      <c r="W24" s="60"/>
    </row>
    <row r="25" spans="2:23">
      <c r="B25" s="62" t="s">
        <v>3758</v>
      </c>
      <c r="C25" s="41" t="s">
        <v>2893</v>
      </c>
      <c r="D25" s="64"/>
      <c r="E25" s="48"/>
      <c r="F25" s="60"/>
      <c r="G25" s="64"/>
      <c r="H25" s="48"/>
      <c r="I25" s="60"/>
      <c r="J25" s="60"/>
      <c r="K25" s="60"/>
      <c r="L25" s="64"/>
      <c r="M25" s="56"/>
      <c r="N25" s="56"/>
      <c r="O25" s="56"/>
      <c r="P25" s="46"/>
      <c r="Q25" s="64"/>
      <c r="R25" s="48"/>
      <c r="S25" s="60"/>
      <c r="T25" s="60"/>
      <c r="U25" s="60"/>
      <c r="V25" s="60"/>
      <c r="W25" s="60"/>
    </row>
    <row r="26" spans="2:23" ht="30">
      <c r="B26" s="61" t="s">
        <v>3759</v>
      </c>
      <c r="C26" s="41" t="s">
        <v>2895</v>
      </c>
      <c r="D26" s="64"/>
      <c r="E26" s="48"/>
      <c r="F26" s="60"/>
      <c r="G26" s="64"/>
      <c r="H26" s="48"/>
      <c r="I26" s="60"/>
      <c r="J26" s="60"/>
      <c r="K26" s="60"/>
      <c r="L26" s="60"/>
      <c r="M26" s="63"/>
      <c r="N26" s="63"/>
      <c r="O26" s="63"/>
      <c r="P26" s="63"/>
      <c r="Q26" s="64"/>
      <c r="R26" s="48"/>
      <c r="S26" s="60"/>
      <c r="T26" s="60"/>
      <c r="U26" s="60"/>
      <c r="V26" s="60"/>
      <c r="W26" s="60"/>
    </row>
    <row r="27" spans="2:23">
      <c r="B27" s="61" t="s">
        <v>3760</v>
      </c>
      <c r="C27" s="41" t="s">
        <v>2897</v>
      </c>
      <c r="D27" s="64"/>
      <c r="E27" s="46"/>
      <c r="F27" s="63"/>
      <c r="G27" s="65"/>
      <c r="H27" s="46"/>
      <c r="I27" s="63"/>
      <c r="J27" s="63"/>
      <c r="K27" s="60"/>
      <c r="L27" s="64"/>
      <c r="M27" s="56"/>
      <c r="N27" s="56"/>
      <c r="O27" s="56"/>
      <c r="P27" s="46"/>
      <c r="Q27" s="64"/>
      <c r="R27" s="46"/>
      <c r="S27" s="63"/>
      <c r="T27" s="63"/>
      <c r="U27" s="60"/>
      <c r="V27" s="60"/>
      <c r="W27" s="60"/>
    </row>
    <row r="28" spans="2:23">
      <c r="B28" s="49" t="s">
        <v>3761</v>
      </c>
      <c r="C28" s="41" t="s">
        <v>2899</v>
      </c>
      <c r="D28" s="63"/>
      <c r="E28" s="65"/>
      <c r="F28" s="58"/>
      <c r="G28" s="48"/>
      <c r="H28" s="65"/>
      <c r="I28" s="58"/>
      <c r="J28" s="48"/>
      <c r="K28" s="63"/>
      <c r="L28" s="63"/>
      <c r="M28" s="63"/>
      <c r="N28" s="63"/>
      <c r="O28" s="63"/>
      <c r="P28" s="63"/>
      <c r="Q28" s="63"/>
      <c r="R28" s="65"/>
      <c r="S28" s="58"/>
      <c r="T28" s="48"/>
      <c r="U28" s="63"/>
      <c r="V28" s="63"/>
      <c r="W28" s="63"/>
    </row>
    <row r="29" spans="2:23">
      <c r="B29" s="47" t="s">
        <v>3762</v>
      </c>
      <c r="C29" s="44" t="s">
        <v>2878</v>
      </c>
      <c r="D29" s="56"/>
      <c r="E29" s="66"/>
      <c r="F29" s="67"/>
      <c r="G29" s="67"/>
      <c r="H29" s="66"/>
      <c r="I29" s="67"/>
      <c r="J29" s="67"/>
      <c r="K29" s="66"/>
      <c r="L29" s="66"/>
      <c r="M29" s="67"/>
      <c r="N29" s="67"/>
      <c r="O29" s="67"/>
      <c r="P29" s="67"/>
      <c r="Q29" s="66"/>
      <c r="R29" s="66"/>
      <c r="S29" s="67"/>
      <c r="T29" s="67"/>
      <c r="U29" s="66"/>
      <c r="V29" s="66"/>
      <c r="W29" s="57"/>
    </row>
    <row r="30" spans="2:23">
      <c r="B30" s="49" t="s">
        <v>3763</v>
      </c>
      <c r="C30" s="41" t="s">
        <v>2901</v>
      </c>
      <c r="D30" s="60"/>
      <c r="E30" s="65"/>
      <c r="F30" s="56"/>
      <c r="G30" s="46"/>
      <c r="H30" s="65"/>
      <c r="I30" s="56"/>
      <c r="J30" s="46"/>
      <c r="K30" s="60"/>
      <c r="L30" s="64"/>
      <c r="M30" s="58"/>
      <c r="N30" s="58"/>
      <c r="O30" s="58"/>
      <c r="P30" s="48"/>
      <c r="Q30" s="60"/>
      <c r="R30" s="65"/>
      <c r="S30" s="56"/>
      <c r="T30" s="46"/>
      <c r="U30" s="60"/>
      <c r="V30" s="60"/>
      <c r="W30" s="60"/>
    </row>
    <row r="31" spans="2:23">
      <c r="B31" s="49" t="s">
        <v>3764</v>
      </c>
      <c r="C31" s="41" t="s">
        <v>2903</v>
      </c>
      <c r="D31" s="64"/>
      <c r="E31" s="46"/>
      <c r="F31" s="63"/>
      <c r="G31" s="65"/>
      <c r="H31" s="46"/>
      <c r="I31" s="63"/>
      <c r="J31" s="63"/>
      <c r="K31" s="60"/>
      <c r="L31" s="64"/>
      <c r="M31" s="58"/>
      <c r="N31" s="58"/>
      <c r="O31" s="58"/>
      <c r="P31" s="48"/>
      <c r="Q31" s="64"/>
      <c r="R31" s="46"/>
      <c r="S31" s="63"/>
      <c r="T31" s="63"/>
      <c r="U31" s="60"/>
      <c r="V31" s="60"/>
      <c r="W31" s="60"/>
    </row>
    <row r="32" spans="2:23">
      <c r="B32" s="49" t="s">
        <v>3293</v>
      </c>
      <c r="C32" s="41" t="s">
        <v>2905</v>
      </c>
      <c r="D32" s="60"/>
      <c r="E32" s="64"/>
      <c r="F32" s="58"/>
      <c r="G32" s="48"/>
      <c r="H32" s="64"/>
      <c r="I32" s="58"/>
      <c r="J32" s="48"/>
      <c r="K32" s="60"/>
      <c r="L32" s="64"/>
      <c r="M32" s="58"/>
      <c r="N32" s="58"/>
      <c r="O32" s="58"/>
      <c r="P32" s="48"/>
      <c r="Q32" s="60"/>
      <c r="R32" s="64"/>
      <c r="S32" s="58"/>
      <c r="T32" s="48"/>
      <c r="U32" s="60"/>
      <c r="V32" s="60"/>
      <c r="W32" s="60"/>
    </row>
    <row r="33" spans="2:23">
      <c r="B33" s="47" t="s">
        <v>3765</v>
      </c>
      <c r="C33" s="41" t="s">
        <v>2919</v>
      </c>
      <c r="D33" s="60"/>
      <c r="E33" s="64"/>
      <c r="F33" s="58"/>
      <c r="G33" s="48"/>
      <c r="H33" s="64"/>
      <c r="I33" s="58"/>
      <c r="J33" s="48"/>
      <c r="K33" s="60"/>
      <c r="L33" s="64"/>
      <c r="M33" s="56"/>
      <c r="N33" s="56"/>
      <c r="O33" s="56"/>
      <c r="P33" s="46"/>
      <c r="Q33" s="60"/>
      <c r="R33" s="64"/>
      <c r="S33" s="58"/>
      <c r="T33" s="48"/>
      <c r="U33" s="60"/>
      <c r="V33" s="60"/>
      <c r="W33" s="60"/>
    </row>
    <row r="34" spans="2:23">
      <c r="B34" s="47" t="s">
        <v>3766</v>
      </c>
      <c r="C34" s="41" t="s">
        <v>2921</v>
      </c>
      <c r="D34" s="60"/>
      <c r="E34" s="64"/>
      <c r="F34" s="58"/>
      <c r="G34" s="48"/>
      <c r="H34" s="64"/>
      <c r="I34" s="58"/>
      <c r="J34" s="48"/>
      <c r="K34" s="60"/>
      <c r="L34" s="60"/>
      <c r="M34" s="63"/>
      <c r="N34" s="63"/>
      <c r="O34" s="63"/>
      <c r="P34" s="63"/>
      <c r="Q34" s="60"/>
      <c r="R34" s="64"/>
      <c r="S34" s="58"/>
      <c r="T34" s="48"/>
      <c r="U34" s="60"/>
      <c r="V34" s="63"/>
      <c r="W34" s="60"/>
    </row>
    <row r="35" spans="2:23">
      <c r="B35" s="47" t="s">
        <v>3767</v>
      </c>
      <c r="C35" s="41" t="s">
        <v>2923</v>
      </c>
      <c r="D35" s="63"/>
      <c r="E35" s="65"/>
      <c r="F35" s="58"/>
      <c r="G35" s="48"/>
      <c r="H35" s="65"/>
      <c r="I35" s="58"/>
      <c r="J35" s="48"/>
      <c r="K35" s="63"/>
      <c r="L35" s="65"/>
      <c r="M35" s="58"/>
      <c r="N35" s="58"/>
      <c r="O35" s="58"/>
      <c r="P35" s="48"/>
      <c r="Q35" s="63"/>
      <c r="R35" s="65"/>
      <c r="S35" s="58"/>
      <c r="T35" s="48"/>
      <c r="U35" s="65"/>
      <c r="V35" s="48"/>
      <c r="W35" s="63"/>
    </row>
    <row r="36" spans="2:23">
      <c r="B36" s="47" t="s">
        <v>3768</v>
      </c>
      <c r="C36" s="44" t="s">
        <v>2878</v>
      </c>
      <c r="D36" s="58"/>
      <c r="E36" s="67"/>
      <c r="F36" s="67"/>
      <c r="G36" s="67"/>
      <c r="H36" s="67"/>
      <c r="I36" s="67"/>
      <c r="J36" s="67"/>
      <c r="K36" s="67"/>
      <c r="L36" s="67"/>
      <c r="M36" s="67"/>
      <c r="N36" s="67"/>
      <c r="O36" s="67"/>
      <c r="P36" s="67"/>
      <c r="Q36" s="67"/>
      <c r="R36" s="67"/>
      <c r="S36" s="67"/>
      <c r="T36" s="67"/>
      <c r="U36" s="67"/>
      <c r="V36" s="67"/>
      <c r="W36" s="59"/>
    </row>
    <row r="37" spans="2:23">
      <c r="B37" s="49" t="s">
        <v>3769</v>
      </c>
      <c r="C37" s="44" t="s">
        <v>2878</v>
      </c>
      <c r="D37" s="58"/>
      <c r="E37" s="66"/>
      <c r="F37" s="67"/>
      <c r="G37" s="67"/>
      <c r="H37" s="66"/>
      <c r="I37" s="67"/>
      <c r="J37" s="67"/>
      <c r="K37" s="66"/>
      <c r="L37" s="67"/>
      <c r="M37" s="67"/>
      <c r="N37" s="67"/>
      <c r="O37" s="67"/>
      <c r="P37" s="67"/>
      <c r="Q37" s="66"/>
      <c r="R37" s="66"/>
      <c r="S37" s="67"/>
      <c r="T37" s="67"/>
      <c r="U37" s="66"/>
      <c r="V37" s="66"/>
      <c r="W37" s="57"/>
    </row>
    <row r="38" spans="2:23">
      <c r="B38" s="61" t="s">
        <v>3770</v>
      </c>
      <c r="C38" s="44" t="s">
        <v>2925</v>
      </c>
      <c r="D38" s="46"/>
      <c r="E38" s="65"/>
      <c r="F38" s="58"/>
      <c r="G38" s="48"/>
      <c r="H38" s="65"/>
      <c r="I38" s="58"/>
      <c r="J38" s="48"/>
      <c r="K38" s="65"/>
      <c r="L38" s="56"/>
      <c r="M38" s="58"/>
      <c r="N38" s="58"/>
      <c r="O38" s="58"/>
      <c r="P38" s="48"/>
      <c r="Q38" s="60"/>
      <c r="R38" s="65"/>
      <c r="S38" s="58"/>
      <c r="T38" s="48"/>
      <c r="U38" s="63"/>
      <c r="V38" s="63"/>
      <c r="W38" s="63"/>
    </row>
    <row r="39" spans="2:23">
      <c r="B39" s="62" t="s">
        <v>3771</v>
      </c>
      <c r="C39" s="41" t="s">
        <v>2927</v>
      </c>
      <c r="D39" s="64"/>
      <c r="E39" s="58"/>
      <c r="F39" s="58"/>
      <c r="G39" s="58"/>
      <c r="H39" s="58"/>
      <c r="I39" s="58"/>
      <c r="J39" s="58"/>
      <c r="K39" s="48"/>
      <c r="L39" s="64"/>
      <c r="M39" s="58"/>
      <c r="N39" s="58"/>
      <c r="O39" s="58"/>
      <c r="P39" s="48"/>
      <c r="Q39" s="64"/>
      <c r="R39" s="58"/>
      <c r="S39" s="58"/>
      <c r="T39" s="58"/>
      <c r="U39" s="58"/>
      <c r="V39" s="58"/>
      <c r="W39" s="48"/>
    </row>
    <row r="40" spans="2:23">
      <c r="B40" s="62" t="s">
        <v>3772</v>
      </c>
      <c r="C40" s="41" t="s">
        <v>2929</v>
      </c>
      <c r="D40" s="64"/>
      <c r="E40" s="56"/>
      <c r="F40" s="58"/>
      <c r="G40" s="58"/>
      <c r="H40" s="56"/>
      <c r="I40" s="58"/>
      <c r="J40" s="58"/>
      <c r="K40" s="46"/>
      <c r="L40" s="64"/>
      <c r="M40" s="58"/>
      <c r="N40" s="58"/>
      <c r="O40" s="58"/>
      <c r="P40" s="48"/>
      <c r="Q40" s="64"/>
      <c r="R40" s="56"/>
      <c r="S40" s="58"/>
      <c r="T40" s="58"/>
      <c r="U40" s="56"/>
      <c r="V40" s="56"/>
      <c r="W40" s="46"/>
    </row>
    <row r="41" spans="2:23">
      <c r="B41" s="61" t="s">
        <v>3773</v>
      </c>
      <c r="C41" s="41" t="s">
        <v>2931</v>
      </c>
      <c r="D41" s="63"/>
      <c r="E41" s="65"/>
      <c r="F41" s="58"/>
      <c r="G41" s="48"/>
      <c r="H41" s="65"/>
      <c r="I41" s="58"/>
      <c r="J41" s="48"/>
      <c r="K41" s="63"/>
      <c r="L41" s="65"/>
      <c r="M41" s="58"/>
      <c r="N41" s="58"/>
      <c r="O41" s="58"/>
      <c r="P41" s="48"/>
      <c r="Q41" s="63"/>
      <c r="R41" s="65"/>
      <c r="S41" s="58"/>
      <c r="T41" s="48"/>
      <c r="U41" s="63"/>
      <c r="V41" s="63"/>
      <c r="W41" s="63"/>
    </row>
    <row r="42" spans="2:23">
      <c r="B42" s="49" t="s">
        <v>3774</v>
      </c>
      <c r="C42" s="44" t="s">
        <v>2878</v>
      </c>
      <c r="D42" s="56"/>
      <c r="E42" s="66"/>
      <c r="F42" s="67"/>
      <c r="G42" s="67"/>
      <c r="H42" s="66"/>
      <c r="I42" s="67"/>
      <c r="J42" s="67"/>
      <c r="K42" s="66"/>
      <c r="L42" s="66"/>
      <c r="M42" s="67"/>
      <c r="N42" s="67"/>
      <c r="O42" s="67"/>
      <c r="P42" s="67"/>
      <c r="Q42" s="66"/>
      <c r="R42" s="66"/>
      <c r="S42" s="67"/>
      <c r="T42" s="67"/>
      <c r="U42" s="66"/>
      <c r="V42" s="66"/>
      <c r="W42" s="57"/>
    </row>
    <row r="43" spans="2:23">
      <c r="B43" s="61" t="s">
        <v>3775</v>
      </c>
      <c r="C43" s="41" t="s">
        <v>2933</v>
      </c>
      <c r="D43" s="60"/>
      <c r="E43" s="64"/>
      <c r="F43" s="58"/>
      <c r="G43" s="48"/>
      <c r="H43" s="64"/>
      <c r="I43" s="58"/>
      <c r="J43" s="48"/>
      <c r="K43" s="60"/>
      <c r="L43" s="64"/>
      <c r="M43" s="58"/>
      <c r="N43" s="58"/>
      <c r="O43" s="58"/>
      <c r="P43" s="48"/>
      <c r="Q43" s="60"/>
      <c r="R43" s="64"/>
      <c r="S43" s="58"/>
      <c r="T43" s="48"/>
      <c r="U43" s="60"/>
      <c r="V43" s="60"/>
      <c r="W43" s="60"/>
    </row>
    <row r="44" spans="2:23">
      <c r="B44" s="61" t="s">
        <v>3776</v>
      </c>
      <c r="C44" s="41" t="s">
        <v>2935</v>
      </c>
      <c r="D44" s="60"/>
      <c r="E44" s="64"/>
      <c r="F44" s="58"/>
      <c r="G44" s="48"/>
      <c r="H44" s="64"/>
      <c r="I44" s="58"/>
      <c r="J44" s="48"/>
      <c r="K44" s="60"/>
      <c r="L44" s="64"/>
      <c r="M44" s="58"/>
      <c r="N44" s="58"/>
      <c r="O44" s="58"/>
      <c r="P44" s="48"/>
      <c r="Q44" s="63"/>
      <c r="R44" s="64"/>
      <c r="S44" s="58"/>
      <c r="T44" s="48"/>
      <c r="U44" s="60"/>
      <c r="V44" s="60"/>
      <c r="W44" s="63"/>
    </row>
    <row r="45" spans="2:23">
      <c r="B45" s="47" t="s">
        <v>3777</v>
      </c>
      <c r="C45" s="41" t="s">
        <v>2937</v>
      </c>
      <c r="D45" s="70"/>
      <c r="E45" s="71"/>
      <c r="F45" s="58"/>
      <c r="G45" s="48"/>
      <c r="H45" s="71"/>
      <c r="I45" s="58"/>
      <c r="J45" s="48"/>
      <c r="K45" s="70"/>
      <c r="L45" s="71"/>
      <c r="M45" s="58"/>
      <c r="N45" s="58"/>
      <c r="O45" s="58"/>
      <c r="P45" s="58"/>
      <c r="Q45" s="46"/>
      <c r="R45" s="71"/>
      <c r="S45" s="58"/>
      <c r="T45" s="48"/>
      <c r="U45" s="70"/>
      <c r="V45" s="71"/>
      <c r="W45" s="46"/>
    </row>
    <row r="46" spans="2:23">
      <c r="B46" s="47" t="s">
        <v>3778</v>
      </c>
      <c r="C46" s="41" t="s">
        <v>2939</v>
      </c>
      <c r="D46" s="60"/>
      <c r="E46" s="64"/>
      <c r="F46" s="58"/>
      <c r="G46" s="48"/>
      <c r="H46" s="64"/>
      <c r="I46" s="58"/>
      <c r="J46" s="48"/>
      <c r="K46" s="60"/>
      <c r="L46" s="64"/>
      <c r="M46" s="58"/>
      <c r="N46" s="58"/>
      <c r="O46" s="58"/>
      <c r="P46" s="48"/>
      <c r="Q46" s="60"/>
      <c r="R46" s="64"/>
      <c r="S46" s="58"/>
      <c r="T46" s="48"/>
      <c r="U46" s="60"/>
      <c r="V46" s="60"/>
      <c r="W46" s="60"/>
    </row>
    <row r="47" spans="2:23">
      <c r="B47" s="47" t="s">
        <v>3779</v>
      </c>
      <c r="C47" s="41" t="s">
        <v>2941</v>
      </c>
      <c r="D47" s="60"/>
      <c r="E47" s="64"/>
      <c r="F47" s="58"/>
      <c r="G47" s="48"/>
      <c r="H47" s="64"/>
      <c r="I47" s="58"/>
      <c r="J47" s="48"/>
      <c r="K47" s="60"/>
      <c r="L47" s="64"/>
      <c r="M47" s="58"/>
      <c r="N47" s="58"/>
      <c r="O47" s="58"/>
      <c r="P47" s="48"/>
      <c r="Q47" s="60"/>
      <c r="R47" s="64"/>
      <c r="S47" s="58"/>
      <c r="T47" s="48"/>
      <c r="U47" s="60"/>
      <c r="V47" s="60"/>
      <c r="W47" s="60"/>
    </row>
    <row r="48" spans="2:23">
      <c r="B48" s="47" t="s">
        <v>3780</v>
      </c>
      <c r="C48" s="41" t="s">
        <v>2943</v>
      </c>
      <c r="D48" s="60"/>
      <c r="E48" s="64"/>
      <c r="F48" s="58"/>
      <c r="G48" s="48"/>
      <c r="H48" s="64"/>
      <c r="I48" s="58"/>
      <c r="J48" s="48"/>
      <c r="K48" s="60"/>
      <c r="L48" s="64"/>
      <c r="M48" s="58"/>
      <c r="N48" s="58"/>
      <c r="O48" s="58"/>
      <c r="P48" s="48"/>
      <c r="Q48" s="60"/>
      <c r="R48" s="64"/>
      <c r="S48" s="58"/>
      <c r="T48" s="48"/>
      <c r="U48" s="60"/>
      <c r="V48" s="60"/>
      <c r="W48" s="60"/>
    </row>
    <row r="49" spans="2:33">
      <c r="B49" s="47" t="s">
        <v>3781</v>
      </c>
      <c r="C49" s="41" t="s">
        <v>2945</v>
      </c>
      <c r="D49" s="60"/>
      <c r="E49" s="64"/>
      <c r="F49" s="58"/>
      <c r="G49" s="48"/>
      <c r="H49" s="64"/>
      <c r="I49" s="58"/>
      <c r="J49" s="48"/>
      <c r="K49" s="60"/>
      <c r="L49" s="64"/>
      <c r="M49" s="58"/>
      <c r="N49" s="58"/>
      <c r="O49" s="58"/>
      <c r="P49" s="48"/>
      <c r="Q49" s="60"/>
      <c r="R49" s="64"/>
      <c r="S49" s="58"/>
      <c r="T49" s="48"/>
      <c r="U49" s="60"/>
      <c r="V49" s="60"/>
      <c r="W49" s="60"/>
    </row>
    <row r="50" spans="2:33" ht="30">
      <c r="B50" s="47" t="s">
        <v>3782</v>
      </c>
      <c r="C50" s="41" t="s">
        <v>2947</v>
      </c>
      <c r="D50" s="60"/>
      <c r="E50" s="64"/>
      <c r="F50" s="58"/>
      <c r="G50" s="48"/>
      <c r="H50" s="64"/>
      <c r="I50" s="58"/>
      <c r="J50" s="48"/>
      <c r="K50" s="60"/>
      <c r="L50" s="64"/>
      <c r="M50" s="58"/>
      <c r="N50" s="58"/>
      <c r="O50" s="58"/>
      <c r="P50" s="48"/>
      <c r="Q50" s="60"/>
      <c r="R50" s="64"/>
      <c r="S50" s="58"/>
      <c r="T50" s="48"/>
      <c r="U50" s="60"/>
      <c r="V50" s="60"/>
      <c r="W50" s="60"/>
    </row>
    <row r="51" spans="2:33">
      <c r="B51" s="47" t="s">
        <v>3783</v>
      </c>
      <c r="C51" s="41" t="s">
        <v>2949</v>
      </c>
      <c r="D51" s="60"/>
      <c r="E51" s="64"/>
      <c r="F51" s="58"/>
      <c r="G51" s="48"/>
      <c r="H51" s="64"/>
      <c r="I51" s="58"/>
      <c r="J51" s="48"/>
      <c r="K51" s="60"/>
      <c r="L51" s="64"/>
      <c r="M51" s="58"/>
      <c r="N51" s="58"/>
      <c r="O51" s="58"/>
      <c r="P51" s="48"/>
      <c r="Q51" s="60"/>
      <c r="R51" s="64"/>
      <c r="S51" s="58"/>
      <c r="T51" s="48"/>
      <c r="U51" s="60"/>
      <c r="V51" s="60"/>
      <c r="W51" s="60"/>
    </row>
    <row r="52" spans="2:33">
      <c r="B52" s="47" t="s">
        <v>3784</v>
      </c>
      <c r="C52" s="41" t="s">
        <v>2951</v>
      </c>
      <c r="D52" s="60"/>
      <c r="E52" s="64"/>
      <c r="F52" s="56"/>
      <c r="G52" s="46"/>
      <c r="H52" s="64"/>
      <c r="I52" s="56"/>
      <c r="J52" s="46"/>
      <c r="K52" s="60"/>
      <c r="L52" s="64"/>
      <c r="M52" s="56"/>
      <c r="N52" s="56"/>
      <c r="O52" s="56"/>
      <c r="P52" s="46"/>
      <c r="Q52" s="60"/>
      <c r="R52" s="64"/>
      <c r="S52" s="56"/>
      <c r="T52" s="46"/>
      <c r="U52" s="60"/>
      <c r="V52" s="60"/>
      <c r="W52" s="60"/>
    </row>
    <row r="54" spans="2:33">
      <c r="AF54" s="13" t="str">
        <f>Show!$B$70&amp;Show!$B$70&amp;"S.12.01.01.01 Rows {"&amp;COLUMN($C$1)&amp;"}"</f>
        <v>!!S.12.01.01.01 Rows {3}</v>
      </c>
      <c r="AG54" s="13" t="str">
        <f>Show!$B$70&amp;Show!$B$70&amp;"S.12.01.01.01 Columns {"&amp;COLUMN($W$1)&amp;"}"</f>
        <v>!!S.12.01.01.01 Columns {23}</v>
      </c>
    </row>
  </sheetData>
  <sheetProtection sheet="1" objects="1" scenarios="1"/>
  <mergeCells count="27">
    <mergeCell ref="B2:O2"/>
    <mergeCell ref="B5:L5"/>
    <mergeCell ref="D9:W10"/>
    <mergeCell ref="D11:D14"/>
    <mergeCell ref="E11:G11"/>
    <mergeCell ref="E12:E14"/>
    <mergeCell ref="H11:J11"/>
    <mergeCell ref="H12:H14"/>
    <mergeCell ref="K11:K14"/>
    <mergeCell ref="L11:P11"/>
    <mergeCell ref="W11:W14"/>
    <mergeCell ref="F12:F14"/>
    <mergeCell ref="G12:G14"/>
    <mergeCell ref="I12:I14"/>
    <mergeCell ref="J12:J14"/>
    <mergeCell ref="V11:V14"/>
    <mergeCell ref="L12:L14"/>
    <mergeCell ref="Q11:Q14"/>
    <mergeCell ref="R11:T11"/>
    <mergeCell ref="R12:R14"/>
    <mergeCell ref="U11:U14"/>
    <mergeCell ref="M12:M14"/>
    <mergeCell ref="N12:N14"/>
    <mergeCell ref="O12:O14"/>
    <mergeCell ref="P12:P14"/>
    <mergeCell ref="S12:S14"/>
    <mergeCell ref="T12:T14"/>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3D2D5-EC29-4670-AD78-9682E327B384}">
  <sheetPr codeName="Blad75"/>
  <dimension ref="B2:AB30"/>
  <sheetViews>
    <sheetView showGridLines="0" workbookViewId="0">
      <selection activeCell="S29" sqref="S29"/>
    </sheetView>
  </sheetViews>
  <sheetFormatPr defaultRowHeight="15"/>
  <cols>
    <col min="2" max="2" width="85.140625" bestFit="1" customWidth="1"/>
    <col min="4" max="19" width="15.7109375" customWidth="1"/>
  </cols>
  <sheetData>
    <row r="2" spans="2:28" ht="23.25">
      <c r="B2" s="86" t="s">
        <v>615</v>
      </c>
      <c r="C2" s="87"/>
      <c r="D2" s="87"/>
      <c r="E2" s="87"/>
      <c r="F2" s="87"/>
      <c r="G2" s="87"/>
      <c r="H2" s="87"/>
      <c r="I2" s="87"/>
      <c r="J2" s="87"/>
      <c r="K2" s="87"/>
      <c r="L2" s="87"/>
      <c r="M2" s="87"/>
      <c r="N2" s="87"/>
      <c r="O2" s="87"/>
    </row>
    <row r="5" spans="2:28" ht="18.75">
      <c r="B5" s="88" t="s">
        <v>3785</v>
      </c>
      <c r="C5" s="87"/>
      <c r="D5" s="87"/>
      <c r="E5" s="87"/>
      <c r="F5" s="87"/>
      <c r="G5" s="87"/>
      <c r="H5" s="87"/>
      <c r="I5" s="87"/>
      <c r="J5" s="87"/>
      <c r="K5" s="87"/>
      <c r="L5" s="87"/>
    </row>
    <row r="9" spans="2:28">
      <c r="D9" s="92" t="s">
        <v>2877</v>
      </c>
      <c r="E9" s="93"/>
      <c r="F9" s="93"/>
      <c r="G9" s="93"/>
      <c r="H9" s="93"/>
      <c r="I9" s="93"/>
      <c r="J9" s="93"/>
      <c r="K9" s="93"/>
      <c r="L9" s="93"/>
      <c r="M9" s="93"/>
      <c r="N9" s="93"/>
      <c r="O9" s="93"/>
      <c r="P9" s="93"/>
      <c r="Q9" s="93"/>
      <c r="R9" s="93"/>
      <c r="S9" s="94"/>
    </row>
    <row r="10" spans="2:28">
      <c r="D10" s="95"/>
      <c r="E10" s="96"/>
      <c r="F10" s="96"/>
      <c r="G10" s="96"/>
      <c r="H10" s="96"/>
      <c r="I10" s="96"/>
      <c r="J10" s="96"/>
      <c r="K10" s="96"/>
      <c r="L10" s="96"/>
      <c r="M10" s="96"/>
      <c r="N10" s="96"/>
      <c r="O10" s="96"/>
      <c r="P10" s="96"/>
      <c r="Q10" s="96"/>
      <c r="R10" s="96"/>
      <c r="S10" s="97"/>
    </row>
    <row r="11" spans="2:28">
      <c r="D11" s="89" t="s">
        <v>1264</v>
      </c>
      <c r="E11" s="92" t="s">
        <v>3510</v>
      </c>
      <c r="F11" s="100"/>
      <c r="G11" s="99"/>
      <c r="H11" s="92" t="s">
        <v>3512</v>
      </c>
      <c r="I11" s="100"/>
      <c r="J11" s="99"/>
      <c r="K11" s="89" t="s">
        <v>3745</v>
      </c>
      <c r="L11" s="89" t="s">
        <v>3746</v>
      </c>
      <c r="M11" s="89" t="s">
        <v>3748</v>
      </c>
      <c r="N11" s="92" t="s">
        <v>3749</v>
      </c>
      <c r="O11" s="100"/>
      <c r="P11" s="99"/>
      <c r="Q11" s="89" t="s">
        <v>1267</v>
      </c>
      <c r="R11" s="89" t="s">
        <v>3750</v>
      </c>
      <c r="S11" s="89" t="s">
        <v>3751</v>
      </c>
    </row>
    <row r="12" spans="2:28">
      <c r="D12" s="90"/>
      <c r="E12" s="90"/>
      <c r="F12" s="89" t="s">
        <v>3743</v>
      </c>
      <c r="G12" s="89" t="s">
        <v>3744</v>
      </c>
      <c r="H12" s="90"/>
      <c r="I12" s="89" t="s">
        <v>3743</v>
      </c>
      <c r="J12" s="89" t="s">
        <v>3744</v>
      </c>
      <c r="K12" s="90"/>
      <c r="L12" s="90"/>
      <c r="M12" s="90"/>
      <c r="N12" s="90"/>
      <c r="O12" s="89" t="s">
        <v>3743</v>
      </c>
      <c r="P12" s="89" t="s">
        <v>3744</v>
      </c>
      <c r="Q12" s="90"/>
      <c r="R12" s="90"/>
      <c r="S12" s="90"/>
    </row>
    <row r="13" spans="2:28">
      <c r="D13" s="91"/>
      <c r="E13" s="91"/>
      <c r="F13" s="91"/>
      <c r="G13" s="91"/>
      <c r="H13" s="91"/>
      <c r="I13" s="91"/>
      <c r="J13" s="91"/>
      <c r="K13" s="91"/>
      <c r="L13" s="91"/>
      <c r="M13" s="91"/>
      <c r="N13" s="91"/>
      <c r="O13" s="91"/>
      <c r="P13" s="91"/>
      <c r="Q13" s="91"/>
      <c r="R13" s="91"/>
      <c r="S13" s="91"/>
    </row>
    <row r="14" spans="2:28">
      <c r="D14" s="45" t="s">
        <v>3219</v>
      </c>
      <c r="E14" s="45" t="s">
        <v>3225</v>
      </c>
      <c r="F14" s="45" t="s">
        <v>3223</v>
      </c>
      <c r="G14" s="45" t="s">
        <v>3229</v>
      </c>
      <c r="H14" s="45" t="s">
        <v>3231</v>
      </c>
      <c r="I14" s="45" t="s">
        <v>3233</v>
      </c>
      <c r="J14" s="45" t="s">
        <v>3234</v>
      </c>
      <c r="K14" s="45" t="s">
        <v>3236</v>
      </c>
      <c r="L14" s="45" t="s">
        <v>3239</v>
      </c>
      <c r="M14" s="45" t="s">
        <v>3477</v>
      </c>
      <c r="N14" s="45" t="s">
        <v>3479</v>
      </c>
      <c r="O14" s="45" t="s">
        <v>3594</v>
      </c>
      <c r="P14" s="45" t="s">
        <v>3596</v>
      </c>
      <c r="Q14" s="45" t="s">
        <v>3599</v>
      </c>
      <c r="R14" s="45" t="s">
        <v>3481</v>
      </c>
      <c r="S14" s="45" t="s">
        <v>3508</v>
      </c>
      <c r="AA14" s="13"/>
      <c r="AB14" s="13"/>
    </row>
    <row r="15" spans="2:28">
      <c r="B15" s="43" t="s">
        <v>2880</v>
      </c>
      <c r="C15" s="44" t="s">
        <v>2878</v>
      </c>
      <c r="D15" s="56"/>
      <c r="E15" s="66"/>
      <c r="F15" s="67"/>
      <c r="G15" s="67"/>
      <c r="H15" s="66"/>
      <c r="I15" s="67"/>
      <c r="J15" s="67"/>
      <c r="K15" s="66"/>
      <c r="L15" s="66"/>
      <c r="M15" s="66"/>
      <c r="N15" s="66"/>
      <c r="O15" s="67"/>
      <c r="P15" s="67"/>
      <c r="Q15" s="66"/>
      <c r="R15" s="66"/>
      <c r="S15" s="57"/>
    </row>
    <row r="16" spans="2:28">
      <c r="B16" s="47" t="s">
        <v>3291</v>
      </c>
      <c r="C16" s="41" t="s">
        <v>2883</v>
      </c>
      <c r="D16" s="60">
        <v>0</v>
      </c>
      <c r="E16" s="60">
        <v>0</v>
      </c>
      <c r="F16" s="58"/>
      <c r="G16" s="48"/>
      <c r="H16" s="60">
        <v>0</v>
      </c>
      <c r="I16" s="58"/>
      <c r="J16" s="48"/>
      <c r="K16" s="60">
        <v>0</v>
      </c>
      <c r="L16" s="60">
        <v>0</v>
      </c>
      <c r="M16" s="60">
        <v>0</v>
      </c>
      <c r="N16" s="60">
        <v>0</v>
      </c>
      <c r="O16" s="58"/>
      <c r="P16" s="48"/>
      <c r="Q16" s="60">
        <v>0</v>
      </c>
      <c r="R16" s="60">
        <v>0</v>
      </c>
      <c r="S16" s="60">
        <v>0</v>
      </c>
    </row>
    <row r="17" spans="2:28" ht="30">
      <c r="B17" s="47" t="s">
        <v>3752</v>
      </c>
      <c r="C17" s="41" t="s">
        <v>2885</v>
      </c>
      <c r="D17" s="60">
        <v>0</v>
      </c>
      <c r="E17" s="60">
        <v>0</v>
      </c>
      <c r="F17" s="58"/>
      <c r="G17" s="48"/>
      <c r="H17" s="60">
        <v>0</v>
      </c>
      <c r="I17" s="58"/>
      <c r="J17" s="48"/>
      <c r="K17" s="60">
        <v>0</v>
      </c>
      <c r="L17" s="60">
        <v>0</v>
      </c>
      <c r="M17" s="60">
        <v>0</v>
      </c>
      <c r="N17" s="60">
        <v>0</v>
      </c>
      <c r="O17" s="58"/>
      <c r="P17" s="48"/>
      <c r="Q17" s="60">
        <v>0</v>
      </c>
      <c r="R17" s="60">
        <v>0</v>
      </c>
      <c r="S17" s="60">
        <v>0</v>
      </c>
    </row>
    <row r="18" spans="2:28">
      <c r="B18" s="47" t="s">
        <v>3753</v>
      </c>
      <c r="C18" s="44" t="s">
        <v>2878</v>
      </c>
      <c r="D18" s="58"/>
      <c r="E18" s="67"/>
      <c r="F18" s="67"/>
      <c r="G18" s="67"/>
      <c r="H18" s="67"/>
      <c r="I18" s="67"/>
      <c r="J18" s="67"/>
      <c r="K18" s="67"/>
      <c r="L18" s="67"/>
      <c r="M18" s="67"/>
      <c r="N18" s="67"/>
      <c r="O18" s="67"/>
      <c r="P18" s="67"/>
      <c r="Q18" s="67"/>
      <c r="R18" s="67"/>
      <c r="S18" s="59"/>
    </row>
    <row r="19" spans="2:28">
      <c r="B19" s="49" t="s">
        <v>3292</v>
      </c>
      <c r="C19" s="44" t="s">
        <v>2878</v>
      </c>
      <c r="D19" s="56"/>
      <c r="E19" s="67"/>
      <c r="F19" s="66"/>
      <c r="G19" s="66"/>
      <c r="H19" s="67"/>
      <c r="I19" s="66"/>
      <c r="J19" s="66"/>
      <c r="K19" s="66"/>
      <c r="L19" s="66"/>
      <c r="M19" s="66"/>
      <c r="N19" s="67"/>
      <c r="O19" s="66"/>
      <c r="P19" s="66"/>
      <c r="Q19" s="66"/>
      <c r="R19" s="66"/>
      <c r="S19" s="57"/>
    </row>
    <row r="20" spans="2:28">
      <c r="B20" s="61" t="s">
        <v>3754</v>
      </c>
      <c r="C20" s="41" t="s">
        <v>2887</v>
      </c>
      <c r="D20" s="60">
        <v>0</v>
      </c>
      <c r="E20" s="48"/>
      <c r="F20" s="60">
        <v>0</v>
      </c>
      <c r="G20" s="60">
        <v>0</v>
      </c>
      <c r="H20" s="48"/>
      <c r="I20" s="60">
        <v>0</v>
      </c>
      <c r="J20" s="60">
        <v>0</v>
      </c>
      <c r="K20" s="60">
        <v>0</v>
      </c>
      <c r="L20" s="60">
        <v>32267504.336756539</v>
      </c>
      <c r="M20" s="60">
        <v>32267504.336756539</v>
      </c>
      <c r="N20" s="48"/>
      <c r="O20" s="60">
        <v>0</v>
      </c>
      <c r="P20" s="60">
        <v>0</v>
      </c>
      <c r="Q20" s="60">
        <v>0</v>
      </c>
      <c r="R20" s="60">
        <v>101948733.90105143</v>
      </c>
      <c r="S20" s="60">
        <v>101948733.90105143</v>
      </c>
    </row>
    <row r="21" spans="2:28" ht="30">
      <c r="B21" s="61" t="s">
        <v>3759</v>
      </c>
      <c r="C21" s="41" t="s">
        <v>2895</v>
      </c>
      <c r="D21" s="60">
        <v>0</v>
      </c>
      <c r="E21" s="48"/>
      <c r="F21" s="60">
        <v>0</v>
      </c>
      <c r="G21" s="60">
        <v>0</v>
      </c>
      <c r="H21" s="48"/>
      <c r="I21" s="60">
        <v>0</v>
      </c>
      <c r="J21" s="60">
        <v>0</v>
      </c>
      <c r="K21" s="60">
        <v>0</v>
      </c>
      <c r="L21" s="60">
        <v>0</v>
      </c>
      <c r="M21" s="60">
        <v>0</v>
      </c>
      <c r="N21" s="48"/>
      <c r="O21" s="60">
        <v>0</v>
      </c>
      <c r="P21" s="60">
        <v>0</v>
      </c>
      <c r="Q21" s="60">
        <v>0</v>
      </c>
      <c r="R21" s="60">
        <v>0</v>
      </c>
      <c r="S21" s="60">
        <v>0</v>
      </c>
    </row>
    <row r="22" spans="2:28">
      <c r="B22" s="61" t="s">
        <v>3786</v>
      </c>
      <c r="C22" s="41" t="s">
        <v>2897</v>
      </c>
      <c r="D22" s="60">
        <v>0</v>
      </c>
      <c r="E22" s="46"/>
      <c r="F22" s="60">
        <v>0</v>
      </c>
      <c r="G22" s="60">
        <v>0</v>
      </c>
      <c r="H22" s="46"/>
      <c r="I22" s="60">
        <v>0</v>
      </c>
      <c r="J22" s="60">
        <v>0</v>
      </c>
      <c r="K22" s="60">
        <v>0</v>
      </c>
      <c r="L22" s="60">
        <v>32267504.336756539</v>
      </c>
      <c r="M22" s="60">
        <v>32267504.336756539</v>
      </c>
      <c r="N22" s="46"/>
      <c r="O22" s="60">
        <v>0</v>
      </c>
      <c r="P22" s="60">
        <v>0</v>
      </c>
      <c r="Q22" s="60">
        <v>0</v>
      </c>
      <c r="R22" s="60">
        <v>101948733.90105143</v>
      </c>
      <c r="S22" s="60">
        <v>101948733.90105143</v>
      </c>
    </row>
    <row r="23" spans="2:28">
      <c r="B23" s="49" t="s">
        <v>3761</v>
      </c>
      <c r="C23" s="41" t="s">
        <v>2899</v>
      </c>
      <c r="D23" s="60">
        <v>0</v>
      </c>
      <c r="E23" s="60">
        <v>0</v>
      </c>
      <c r="F23" s="58"/>
      <c r="G23" s="48"/>
      <c r="H23" s="60">
        <v>0</v>
      </c>
      <c r="I23" s="58"/>
      <c r="J23" s="48"/>
      <c r="K23" s="60">
        <v>0</v>
      </c>
      <c r="L23" s="60">
        <v>2336040.5963621498</v>
      </c>
      <c r="M23" s="60">
        <v>2336040.5963621498</v>
      </c>
      <c r="N23" s="60">
        <v>0</v>
      </c>
      <c r="O23" s="58"/>
      <c r="P23" s="48"/>
      <c r="Q23" s="60">
        <v>0</v>
      </c>
      <c r="R23" s="60">
        <v>2369148.4452137807</v>
      </c>
      <c r="S23" s="60">
        <v>2369148.4452137807</v>
      </c>
    </row>
    <row r="24" spans="2:28">
      <c r="B24" s="49" t="s">
        <v>3762</v>
      </c>
      <c r="C24" s="44" t="s">
        <v>2878</v>
      </c>
      <c r="D24" s="56"/>
      <c r="E24" s="66"/>
      <c r="F24" s="67"/>
      <c r="G24" s="67"/>
      <c r="H24" s="66"/>
      <c r="I24" s="67"/>
      <c r="J24" s="67"/>
      <c r="K24" s="66"/>
      <c r="L24" s="66"/>
      <c r="M24" s="66"/>
      <c r="N24" s="66"/>
      <c r="O24" s="67"/>
      <c r="P24" s="67"/>
      <c r="Q24" s="66"/>
      <c r="R24" s="66"/>
      <c r="S24" s="57"/>
    </row>
    <row r="25" spans="2:28">
      <c r="B25" s="61" t="s">
        <v>3763</v>
      </c>
      <c r="C25" s="41" t="s">
        <v>2901</v>
      </c>
      <c r="D25" s="60">
        <v>0</v>
      </c>
      <c r="E25" s="60">
        <v>0</v>
      </c>
      <c r="F25" s="56"/>
      <c r="G25" s="46"/>
      <c r="H25" s="60">
        <v>0</v>
      </c>
      <c r="I25" s="56"/>
      <c r="J25" s="46"/>
      <c r="K25" s="60">
        <v>0</v>
      </c>
      <c r="L25" s="60">
        <v>0</v>
      </c>
      <c r="M25" s="60">
        <v>0</v>
      </c>
      <c r="N25" s="60">
        <v>0</v>
      </c>
      <c r="O25" s="56"/>
      <c r="P25" s="46"/>
      <c r="Q25" s="60">
        <v>0</v>
      </c>
      <c r="R25" s="60">
        <v>0</v>
      </c>
      <c r="S25" s="60">
        <v>0</v>
      </c>
    </row>
    <row r="26" spans="2:28">
      <c r="B26" s="61" t="s">
        <v>3764</v>
      </c>
      <c r="C26" s="41" t="s">
        <v>2903</v>
      </c>
      <c r="D26" s="60">
        <v>0</v>
      </c>
      <c r="E26" s="46"/>
      <c r="F26" s="60">
        <v>0</v>
      </c>
      <c r="G26" s="60">
        <v>0</v>
      </c>
      <c r="H26" s="46"/>
      <c r="I26" s="60">
        <v>0</v>
      </c>
      <c r="J26" s="60">
        <v>0</v>
      </c>
      <c r="K26" s="60">
        <v>0</v>
      </c>
      <c r="L26" s="60">
        <v>0</v>
      </c>
      <c r="M26" s="60">
        <v>0</v>
      </c>
      <c r="N26" s="46"/>
      <c r="O26" s="60">
        <v>0</v>
      </c>
      <c r="P26" s="60">
        <v>0</v>
      </c>
      <c r="Q26" s="60">
        <v>0</v>
      </c>
      <c r="R26" s="60">
        <v>0</v>
      </c>
      <c r="S26" s="60">
        <v>0</v>
      </c>
    </row>
    <row r="27" spans="2:28">
      <c r="B27" s="61" t="s">
        <v>3293</v>
      </c>
      <c r="C27" s="41" t="s">
        <v>2905</v>
      </c>
      <c r="D27" s="60">
        <v>0</v>
      </c>
      <c r="E27" s="60">
        <v>0</v>
      </c>
      <c r="F27" s="58"/>
      <c r="G27" s="48"/>
      <c r="H27" s="60">
        <v>0</v>
      </c>
      <c r="I27" s="58"/>
      <c r="J27" s="48"/>
      <c r="K27" s="60">
        <v>0</v>
      </c>
      <c r="L27" s="60">
        <v>0</v>
      </c>
      <c r="M27" s="60">
        <v>0</v>
      </c>
      <c r="N27" s="60">
        <v>0</v>
      </c>
      <c r="O27" s="58"/>
      <c r="P27" s="48"/>
      <c r="Q27" s="60">
        <v>0</v>
      </c>
      <c r="R27" s="60">
        <v>0</v>
      </c>
      <c r="S27" s="60">
        <v>0</v>
      </c>
    </row>
    <row r="28" spans="2:28">
      <c r="B28" s="47" t="s">
        <v>3765</v>
      </c>
      <c r="C28" s="41" t="s">
        <v>2919</v>
      </c>
      <c r="D28" s="60">
        <v>0</v>
      </c>
      <c r="E28" s="60">
        <v>0</v>
      </c>
      <c r="F28" s="56"/>
      <c r="G28" s="46"/>
      <c r="H28" s="60">
        <v>0</v>
      </c>
      <c r="I28" s="56"/>
      <c r="J28" s="46"/>
      <c r="K28" s="60">
        <v>0</v>
      </c>
      <c r="L28" s="60">
        <v>34603544.933118686</v>
      </c>
      <c r="M28" s="60">
        <v>34603544.933118686</v>
      </c>
      <c r="N28" s="60">
        <v>0</v>
      </c>
      <c r="O28" s="56"/>
      <c r="P28" s="46"/>
      <c r="Q28" s="60">
        <v>0</v>
      </c>
      <c r="R28" s="60">
        <v>104317882.34626521</v>
      </c>
      <c r="S28" s="60">
        <f>S20+S23</f>
        <v>104317882.34626521</v>
      </c>
    </row>
    <row r="30" spans="2:28">
      <c r="AA30" s="13"/>
      <c r="AB30" s="13"/>
    </row>
  </sheetData>
  <mergeCells count="22">
    <mergeCell ref="R11:R13"/>
    <mergeCell ref="S11:S13"/>
    <mergeCell ref="B2:O2"/>
    <mergeCell ref="B5:L5"/>
    <mergeCell ref="D9:S10"/>
    <mergeCell ref="D11:D13"/>
    <mergeCell ref="E11:G11"/>
    <mergeCell ref="E12:E13"/>
    <mergeCell ref="H11:J11"/>
    <mergeCell ref="H12:H13"/>
    <mergeCell ref="K11:K13"/>
    <mergeCell ref="L11:L13"/>
    <mergeCell ref="P12:P13"/>
    <mergeCell ref="M11:M13"/>
    <mergeCell ref="N11:P11"/>
    <mergeCell ref="N12:N13"/>
    <mergeCell ref="Q11:Q13"/>
    <mergeCell ref="F12:F13"/>
    <mergeCell ref="G12:G13"/>
    <mergeCell ref="I12:I13"/>
    <mergeCell ref="J12:J13"/>
    <mergeCell ref="O12:O13"/>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BD88A-4777-48AC-BDA8-CCF66DD893D5}">
  <sheetPr codeName="Blad76"/>
  <dimension ref="B2:AB34"/>
  <sheetViews>
    <sheetView showGridLines="0" workbookViewId="0"/>
  </sheetViews>
  <sheetFormatPr defaultRowHeight="15"/>
  <cols>
    <col min="2" max="2" width="85.140625" bestFit="1" customWidth="1"/>
    <col min="4" max="19" width="15.7109375" customWidth="1"/>
  </cols>
  <sheetData>
    <row r="2" spans="2:28" ht="23.25">
      <c r="B2" s="86" t="s">
        <v>615</v>
      </c>
      <c r="C2" s="87"/>
      <c r="D2" s="87"/>
      <c r="E2" s="87"/>
      <c r="F2" s="87"/>
      <c r="G2" s="87"/>
      <c r="H2" s="87"/>
      <c r="I2" s="87"/>
      <c r="J2" s="87"/>
      <c r="K2" s="87"/>
      <c r="L2" s="87"/>
      <c r="M2" s="87"/>
      <c r="N2" s="87"/>
      <c r="O2" s="87"/>
    </row>
    <row r="5" spans="2:28" ht="18.75">
      <c r="B5" s="88" t="s">
        <v>3787</v>
      </c>
      <c r="C5" s="87"/>
      <c r="D5" s="87"/>
      <c r="E5" s="87"/>
      <c r="F5" s="87"/>
      <c r="G5" s="87"/>
      <c r="H5" s="87"/>
      <c r="I5" s="87"/>
      <c r="J5" s="87"/>
      <c r="K5" s="87"/>
      <c r="L5" s="87"/>
    </row>
    <row r="7" spans="2:28">
      <c r="B7" t="s">
        <v>3110</v>
      </c>
      <c r="AA7" s="13" t="str">
        <f>Show!$B$72&amp;"SR.12.01.01.01 Table label {"&amp;COLUMN($C$1)&amp;"}"</f>
        <v>!SR.12.01.01.01 Table label {3}</v>
      </c>
      <c r="AB7" s="13" t="str">
        <f>Show!$B$72&amp;"SR.12.01.01.01 Table value {"&amp;COLUMN($D$1)&amp;"}"</f>
        <v>!SR.12.01.01.01 Table value {4}</v>
      </c>
    </row>
    <row r="8" spans="2:28">
      <c r="B8" t="s">
        <v>3111</v>
      </c>
    </row>
    <row r="9" spans="2:28">
      <c r="B9" s="40" t="s">
        <v>3788</v>
      </c>
      <c r="C9" s="53" t="s">
        <v>3115</v>
      </c>
      <c r="D9" s="51"/>
    </row>
    <row r="10" spans="2:28">
      <c r="B10" s="40" t="s">
        <v>3114</v>
      </c>
      <c r="C10" s="53" t="s">
        <v>3323</v>
      </c>
      <c r="D10" s="50"/>
    </row>
    <row r="11" spans="2:28">
      <c r="AA11" s="13" t="str">
        <f>Show!$B$72&amp;Show!$B$72&amp;"SR.12.01.01.01 Table label {"&amp;COLUMN($C$1)&amp;"}"</f>
        <v>!!SR.12.01.01.01 Table label {3}</v>
      </c>
      <c r="AB11" s="13" t="str">
        <f>Show!$B$72&amp;Show!$B$72&amp;"SR.12.01.01.01 Table value {"&amp;COLUMN($D$1)&amp;"}"</f>
        <v>!!SR.12.01.01.01 Table value {4}</v>
      </c>
    </row>
    <row r="13" spans="2:28">
      <c r="D13" s="92" t="s">
        <v>2877</v>
      </c>
      <c r="E13" s="93"/>
      <c r="F13" s="93"/>
      <c r="G13" s="93"/>
      <c r="H13" s="93"/>
      <c r="I13" s="93"/>
      <c r="J13" s="93"/>
      <c r="K13" s="93"/>
      <c r="L13" s="93"/>
      <c r="M13" s="93"/>
      <c r="N13" s="93"/>
      <c r="O13" s="93"/>
      <c r="P13" s="93"/>
      <c r="Q13" s="93"/>
      <c r="R13" s="93"/>
      <c r="S13" s="94"/>
    </row>
    <row r="14" spans="2:28">
      <c r="D14" s="95"/>
      <c r="E14" s="96"/>
      <c r="F14" s="96"/>
      <c r="G14" s="96"/>
      <c r="H14" s="96"/>
      <c r="I14" s="96"/>
      <c r="J14" s="96"/>
      <c r="K14" s="96"/>
      <c r="L14" s="96"/>
      <c r="M14" s="96"/>
      <c r="N14" s="96"/>
      <c r="O14" s="96"/>
      <c r="P14" s="96"/>
      <c r="Q14" s="96"/>
      <c r="R14" s="96"/>
      <c r="S14" s="97"/>
    </row>
    <row r="15" spans="2:28">
      <c r="D15" s="89" t="s">
        <v>1264</v>
      </c>
      <c r="E15" s="92" t="s">
        <v>3510</v>
      </c>
      <c r="F15" s="100"/>
      <c r="G15" s="99"/>
      <c r="H15" s="92" t="s">
        <v>3512</v>
      </c>
      <c r="I15" s="100"/>
      <c r="J15" s="99"/>
      <c r="K15" s="89" t="s">
        <v>3745</v>
      </c>
      <c r="L15" s="89" t="s">
        <v>3746</v>
      </c>
      <c r="M15" s="89" t="s">
        <v>3789</v>
      </c>
      <c r="N15" s="92" t="s">
        <v>3749</v>
      </c>
      <c r="O15" s="100"/>
      <c r="P15" s="99"/>
      <c r="Q15" s="89" t="s">
        <v>1267</v>
      </c>
      <c r="R15" s="89" t="s">
        <v>3750</v>
      </c>
      <c r="S15" s="89" t="s">
        <v>3751</v>
      </c>
    </row>
    <row r="16" spans="2:28">
      <c r="D16" s="90"/>
      <c r="E16" s="90"/>
      <c r="F16" s="89" t="s">
        <v>3743</v>
      </c>
      <c r="G16" s="89" t="s">
        <v>3744</v>
      </c>
      <c r="H16" s="90"/>
      <c r="I16" s="89" t="s">
        <v>3743</v>
      </c>
      <c r="J16" s="89" t="s">
        <v>3744</v>
      </c>
      <c r="K16" s="90"/>
      <c r="L16" s="90"/>
      <c r="M16" s="90"/>
      <c r="N16" s="90"/>
      <c r="O16" s="89" t="s">
        <v>3743</v>
      </c>
      <c r="P16" s="89" t="s">
        <v>3744</v>
      </c>
      <c r="Q16" s="90"/>
      <c r="R16" s="90"/>
      <c r="S16" s="90"/>
    </row>
    <row r="17" spans="2:28">
      <c r="D17" s="91"/>
      <c r="E17" s="91"/>
      <c r="F17" s="91"/>
      <c r="G17" s="91"/>
      <c r="H17" s="91"/>
      <c r="I17" s="91"/>
      <c r="J17" s="91"/>
      <c r="K17" s="91"/>
      <c r="L17" s="91"/>
      <c r="M17" s="91"/>
      <c r="N17" s="91"/>
      <c r="O17" s="91"/>
      <c r="P17" s="91"/>
      <c r="Q17" s="91"/>
      <c r="R17" s="91"/>
      <c r="S17" s="91"/>
    </row>
    <row r="18" spans="2:28">
      <c r="D18" s="45" t="s">
        <v>3219</v>
      </c>
      <c r="E18" s="45" t="s">
        <v>3225</v>
      </c>
      <c r="F18" s="45" t="s">
        <v>3223</v>
      </c>
      <c r="G18" s="45" t="s">
        <v>3229</v>
      </c>
      <c r="H18" s="45" t="s">
        <v>3231</v>
      </c>
      <c r="I18" s="45" t="s">
        <v>3233</v>
      </c>
      <c r="J18" s="45" t="s">
        <v>3234</v>
      </c>
      <c r="K18" s="45" t="s">
        <v>3236</v>
      </c>
      <c r="L18" s="45" t="s">
        <v>3239</v>
      </c>
      <c r="M18" s="45" t="s">
        <v>3477</v>
      </c>
      <c r="N18" s="45" t="s">
        <v>3479</v>
      </c>
      <c r="O18" s="45" t="s">
        <v>3594</v>
      </c>
      <c r="P18" s="45" t="s">
        <v>3596</v>
      </c>
      <c r="Q18" s="45" t="s">
        <v>3599</v>
      </c>
      <c r="R18" s="45" t="s">
        <v>3481</v>
      </c>
      <c r="S18" s="45" t="s">
        <v>3508</v>
      </c>
      <c r="AA18" s="13" t="str">
        <f>Show!$B$72&amp;"SR.12.01.01.01 Rows {"&amp;COLUMN($C$1)&amp;"}"&amp;"@ForceFilingCode:true"</f>
        <v>!SR.12.01.01.01 Rows {3}@ForceFilingCode:true</v>
      </c>
      <c r="AB18" s="13" t="str">
        <f>Show!$B$72&amp;"SR.12.01.01.01 Columns {"&amp;COLUMN($D$1)&amp;"}"</f>
        <v>!SR.12.01.01.01 Columns {4}</v>
      </c>
    </row>
    <row r="19" spans="2:28">
      <c r="B19" s="43" t="s">
        <v>2880</v>
      </c>
      <c r="C19" s="44" t="s">
        <v>2878</v>
      </c>
      <c r="D19" s="56"/>
      <c r="E19" s="66"/>
      <c r="F19" s="67"/>
      <c r="G19" s="67"/>
      <c r="H19" s="66"/>
      <c r="I19" s="67"/>
      <c r="J19" s="67"/>
      <c r="K19" s="66"/>
      <c r="L19" s="66"/>
      <c r="M19" s="66"/>
      <c r="N19" s="66"/>
      <c r="O19" s="67"/>
      <c r="P19" s="67"/>
      <c r="Q19" s="66"/>
      <c r="R19" s="66"/>
      <c r="S19" s="57"/>
    </row>
    <row r="20" spans="2:28">
      <c r="B20" s="47" t="s">
        <v>3291</v>
      </c>
      <c r="C20" s="41" t="s">
        <v>2883</v>
      </c>
      <c r="D20" s="60"/>
      <c r="E20" s="64"/>
      <c r="F20" s="58"/>
      <c r="G20" s="48"/>
      <c r="H20" s="64"/>
      <c r="I20" s="58"/>
      <c r="J20" s="48"/>
      <c r="K20" s="60"/>
      <c r="L20" s="60"/>
      <c r="M20" s="60"/>
      <c r="N20" s="64"/>
      <c r="O20" s="58"/>
      <c r="P20" s="48"/>
      <c r="Q20" s="60"/>
      <c r="R20" s="60"/>
      <c r="S20" s="60"/>
    </row>
    <row r="21" spans="2:28" ht="30">
      <c r="B21" s="47" t="s">
        <v>3752</v>
      </c>
      <c r="C21" s="41" t="s">
        <v>2885</v>
      </c>
      <c r="D21" s="63"/>
      <c r="E21" s="65"/>
      <c r="F21" s="58"/>
      <c r="G21" s="48"/>
      <c r="H21" s="65"/>
      <c r="I21" s="58"/>
      <c r="J21" s="48"/>
      <c r="K21" s="63"/>
      <c r="L21" s="63"/>
      <c r="M21" s="63"/>
      <c r="N21" s="65"/>
      <c r="O21" s="58"/>
      <c r="P21" s="48"/>
      <c r="Q21" s="63"/>
      <c r="R21" s="63"/>
      <c r="S21" s="63"/>
    </row>
    <row r="22" spans="2:28">
      <c r="B22" s="47" t="s">
        <v>3753</v>
      </c>
      <c r="C22" s="44" t="s">
        <v>2878</v>
      </c>
      <c r="D22" s="58"/>
      <c r="E22" s="67"/>
      <c r="F22" s="67"/>
      <c r="G22" s="67"/>
      <c r="H22" s="67"/>
      <c r="I22" s="67"/>
      <c r="J22" s="67"/>
      <c r="K22" s="67"/>
      <c r="L22" s="67"/>
      <c r="M22" s="67"/>
      <c r="N22" s="67"/>
      <c r="O22" s="67"/>
      <c r="P22" s="67"/>
      <c r="Q22" s="67"/>
      <c r="R22" s="67"/>
      <c r="S22" s="59"/>
    </row>
    <row r="23" spans="2:28">
      <c r="B23" s="49" t="s">
        <v>3292</v>
      </c>
      <c r="C23" s="44" t="s">
        <v>2878</v>
      </c>
      <c r="D23" s="56"/>
      <c r="E23" s="67"/>
      <c r="F23" s="66"/>
      <c r="G23" s="66"/>
      <c r="H23" s="67"/>
      <c r="I23" s="66"/>
      <c r="J23" s="66"/>
      <c r="K23" s="66"/>
      <c r="L23" s="66"/>
      <c r="M23" s="66"/>
      <c r="N23" s="67"/>
      <c r="O23" s="66"/>
      <c r="P23" s="66"/>
      <c r="Q23" s="66"/>
      <c r="R23" s="66"/>
      <c r="S23" s="57"/>
    </row>
    <row r="24" spans="2:28">
      <c r="B24" s="61" t="s">
        <v>3754</v>
      </c>
      <c r="C24" s="41" t="s">
        <v>2887</v>
      </c>
      <c r="D24" s="64"/>
      <c r="E24" s="48"/>
      <c r="F24" s="60"/>
      <c r="G24" s="64"/>
      <c r="H24" s="48"/>
      <c r="I24" s="60"/>
      <c r="J24" s="60"/>
      <c r="K24" s="60"/>
      <c r="L24" s="60"/>
      <c r="M24" s="64"/>
      <c r="N24" s="48"/>
      <c r="O24" s="60"/>
      <c r="P24" s="60"/>
      <c r="Q24" s="60"/>
      <c r="R24" s="60"/>
      <c r="S24" s="60"/>
    </row>
    <row r="25" spans="2:28" ht="30">
      <c r="B25" s="61" t="s">
        <v>3759</v>
      </c>
      <c r="C25" s="41" t="s">
        <v>2895</v>
      </c>
      <c r="D25" s="64"/>
      <c r="E25" s="48"/>
      <c r="F25" s="60"/>
      <c r="G25" s="64"/>
      <c r="H25" s="48"/>
      <c r="I25" s="60"/>
      <c r="J25" s="60"/>
      <c r="K25" s="60"/>
      <c r="L25" s="60"/>
      <c r="M25" s="64"/>
      <c r="N25" s="48"/>
      <c r="O25" s="60"/>
      <c r="P25" s="60"/>
      <c r="Q25" s="60"/>
      <c r="R25" s="60"/>
      <c r="S25" s="60"/>
    </row>
    <row r="26" spans="2:28">
      <c r="B26" s="61" t="s">
        <v>3786</v>
      </c>
      <c r="C26" s="41" t="s">
        <v>2897</v>
      </c>
      <c r="D26" s="64"/>
      <c r="E26" s="46"/>
      <c r="F26" s="63"/>
      <c r="G26" s="65"/>
      <c r="H26" s="46"/>
      <c r="I26" s="63"/>
      <c r="J26" s="63"/>
      <c r="K26" s="60"/>
      <c r="L26" s="60"/>
      <c r="M26" s="64"/>
      <c r="N26" s="46"/>
      <c r="O26" s="63"/>
      <c r="P26" s="63"/>
      <c r="Q26" s="60"/>
      <c r="R26" s="60"/>
      <c r="S26" s="60"/>
    </row>
    <row r="27" spans="2:28">
      <c r="B27" s="49" t="s">
        <v>3761</v>
      </c>
      <c r="C27" s="41" t="s">
        <v>2899</v>
      </c>
      <c r="D27" s="63"/>
      <c r="E27" s="65"/>
      <c r="F27" s="58"/>
      <c r="G27" s="48"/>
      <c r="H27" s="65"/>
      <c r="I27" s="58"/>
      <c r="J27" s="48"/>
      <c r="K27" s="63"/>
      <c r="L27" s="63"/>
      <c r="M27" s="63"/>
      <c r="N27" s="65"/>
      <c r="O27" s="58"/>
      <c r="P27" s="48"/>
      <c r="Q27" s="63"/>
      <c r="R27" s="63"/>
      <c r="S27" s="63"/>
    </row>
    <row r="28" spans="2:28">
      <c r="B28" s="49" t="s">
        <v>3762</v>
      </c>
      <c r="C28" s="44" t="s">
        <v>2878</v>
      </c>
      <c r="D28" s="56"/>
      <c r="E28" s="66"/>
      <c r="F28" s="67"/>
      <c r="G28" s="67"/>
      <c r="H28" s="66"/>
      <c r="I28" s="67"/>
      <c r="J28" s="67"/>
      <c r="K28" s="66"/>
      <c r="L28" s="66"/>
      <c r="M28" s="66"/>
      <c r="N28" s="66"/>
      <c r="O28" s="67"/>
      <c r="P28" s="67"/>
      <c r="Q28" s="66"/>
      <c r="R28" s="66"/>
      <c r="S28" s="57"/>
    </row>
    <row r="29" spans="2:28">
      <c r="B29" s="61" t="s">
        <v>3763</v>
      </c>
      <c r="C29" s="41" t="s">
        <v>2901</v>
      </c>
      <c r="D29" s="60"/>
      <c r="E29" s="65"/>
      <c r="F29" s="56"/>
      <c r="G29" s="46"/>
      <c r="H29" s="65"/>
      <c r="I29" s="56"/>
      <c r="J29" s="46"/>
      <c r="K29" s="60"/>
      <c r="L29" s="60"/>
      <c r="M29" s="60"/>
      <c r="N29" s="65"/>
      <c r="O29" s="56"/>
      <c r="P29" s="46"/>
      <c r="Q29" s="60"/>
      <c r="R29" s="60"/>
      <c r="S29" s="60"/>
    </row>
    <row r="30" spans="2:28">
      <c r="B30" s="61" t="s">
        <v>3764</v>
      </c>
      <c r="C30" s="41" t="s">
        <v>2903</v>
      </c>
      <c r="D30" s="64"/>
      <c r="E30" s="46"/>
      <c r="F30" s="63"/>
      <c r="G30" s="65"/>
      <c r="H30" s="46"/>
      <c r="I30" s="63"/>
      <c r="J30" s="63"/>
      <c r="K30" s="60"/>
      <c r="L30" s="60"/>
      <c r="M30" s="64"/>
      <c r="N30" s="46"/>
      <c r="O30" s="63"/>
      <c r="P30" s="63"/>
      <c r="Q30" s="60"/>
      <c r="R30" s="60"/>
      <c r="S30" s="60"/>
    </row>
    <row r="31" spans="2:28">
      <c r="B31" s="61" t="s">
        <v>3293</v>
      </c>
      <c r="C31" s="41" t="s">
        <v>2905</v>
      </c>
      <c r="D31" s="60"/>
      <c r="E31" s="64"/>
      <c r="F31" s="58"/>
      <c r="G31" s="48"/>
      <c r="H31" s="64"/>
      <c r="I31" s="58"/>
      <c r="J31" s="48"/>
      <c r="K31" s="60"/>
      <c r="L31" s="60"/>
      <c r="M31" s="60"/>
      <c r="N31" s="64"/>
      <c r="O31" s="58"/>
      <c r="P31" s="48"/>
      <c r="Q31" s="60"/>
      <c r="R31" s="60"/>
      <c r="S31" s="60"/>
    </row>
    <row r="32" spans="2:28">
      <c r="B32" s="47" t="s">
        <v>3765</v>
      </c>
      <c r="C32" s="41" t="s">
        <v>2919</v>
      </c>
      <c r="D32" s="60"/>
      <c r="E32" s="64"/>
      <c r="F32" s="56"/>
      <c r="G32" s="46"/>
      <c r="H32" s="64"/>
      <c r="I32" s="56"/>
      <c r="J32" s="46"/>
      <c r="K32" s="60"/>
      <c r="L32" s="60"/>
      <c r="M32" s="60"/>
      <c r="N32" s="64"/>
      <c r="O32" s="56"/>
      <c r="P32" s="46"/>
      <c r="Q32" s="60"/>
      <c r="R32" s="60"/>
      <c r="S32" s="60"/>
    </row>
    <row r="34" spans="27:28">
      <c r="AA34" s="13" t="str">
        <f>Show!$B$72&amp;Show!$B$72&amp;"SR.12.01.01.01 Rows {"&amp;COLUMN($C$1)&amp;"}"</f>
        <v>!!SR.12.01.01.01 Rows {3}</v>
      </c>
      <c r="AB34" s="13" t="str">
        <f>Show!$B$72&amp;Show!$B$72&amp;"SR.12.01.01.01 Columns {"&amp;COLUMN($S$1)&amp;"}"</f>
        <v>!!SR.12.01.01.01 Columns {19}</v>
      </c>
    </row>
  </sheetData>
  <sheetProtection sheet="1" objects="1" scenarios="1"/>
  <mergeCells count="22">
    <mergeCell ref="R15:R17"/>
    <mergeCell ref="S15:S17"/>
    <mergeCell ref="B2:O2"/>
    <mergeCell ref="B5:L5"/>
    <mergeCell ref="D13:S14"/>
    <mergeCell ref="D15:D17"/>
    <mergeCell ref="E15:G15"/>
    <mergeCell ref="E16:E17"/>
    <mergeCell ref="H15:J15"/>
    <mergeCell ref="H16:H17"/>
    <mergeCell ref="K15:K17"/>
    <mergeCell ref="L15:L17"/>
    <mergeCell ref="P16:P17"/>
    <mergeCell ref="M15:M17"/>
    <mergeCell ref="N15:P15"/>
    <mergeCell ref="N16:N17"/>
    <mergeCell ref="Q15:Q17"/>
    <mergeCell ref="F16:F17"/>
    <mergeCell ref="G16:G17"/>
    <mergeCell ref="I16:I17"/>
    <mergeCell ref="J16:J17"/>
    <mergeCell ref="O16:O17"/>
  </mergeCells>
  <dataValidations count="1">
    <dataValidation type="list" errorStyle="warning" allowBlank="1" showInputMessage="1" showErrorMessage="1" sqref="D9" xr:uid="{3CC22477-665C-46C2-9055-E6D706D6F453}">
      <formula1>hier_PU_20</formula1>
    </dataValidation>
  </dataValidation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C5546-BF4E-4801-893B-B42FA5E5AC78}">
  <sheetPr codeName="Blad77"/>
  <dimension ref="B2:V31"/>
  <sheetViews>
    <sheetView showGridLines="0" workbookViewId="0"/>
  </sheetViews>
  <sheetFormatPr defaultRowHeight="15"/>
  <cols>
    <col min="2" max="2" width="74.42578125" bestFit="1" customWidth="1"/>
    <col min="4" max="4" width="40.7109375" customWidth="1"/>
    <col min="5" max="14" width="15.7109375" customWidth="1"/>
  </cols>
  <sheetData>
    <row r="2" spans="2:22" ht="23.25">
      <c r="B2" s="86" t="s">
        <v>619</v>
      </c>
      <c r="C2" s="87"/>
      <c r="D2" s="87"/>
      <c r="E2" s="87"/>
      <c r="F2" s="87"/>
      <c r="G2" s="87"/>
      <c r="H2" s="87"/>
      <c r="I2" s="87"/>
      <c r="J2" s="87"/>
      <c r="K2" s="87"/>
      <c r="L2" s="87"/>
      <c r="M2" s="87"/>
      <c r="N2" s="87"/>
      <c r="O2" s="87"/>
    </row>
    <row r="5" spans="2:22" ht="18.75">
      <c r="B5" s="88" t="s">
        <v>3790</v>
      </c>
      <c r="C5" s="87"/>
      <c r="D5" s="87"/>
      <c r="E5" s="87"/>
      <c r="F5" s="87"/>
      <c r="G5" s="87"/>
      <c r="H5" s="87"/>
      <c r="I5" s="87"/>
      <c r="J5" s="87"/>
      <c r="K5" s="87"/>
      <c r="L5" s="87"/>
    </row>
    <row r="9" spans="2:22">
      <c r="D9" s="92" t="s">
        <v>2877</v>
      </c>
      <c r="E9" s="93"/>
      <c r="F9" s="93"/>
      <c r="G9" s="93"/>
      <c r="H9" s="93"/>
      <c r="I9" s="93"/>
      <c r="J9" s="93"/>
      <c r="K9" s="93"/>
      <c r="L9" s="93"/>
      <c r="M9" s="94"/>
    </row>
    <row r="10" spans="2:22">
      <c r="D10" s="95"/>
      <c r="E10" s="96"/>
      <c r="F10" s="96"/>
      <c r="G10" s="96"/>
      <c r="H10" s="96"/>
      <c r="I10" s="96"/>
      <c r="J10" s="96"/>
      <c r="K10" s="96"/>
      <c r="L10" s="96"/>
      <c r="M10" s="97"/>
    </row>
    <row r="11" spans="2:22" ht="165">
      <c r="D11" s="55" t="s">
        <v>1264</v>
      </c>
      <c r="E11" s="55" t="s">
        <v>3510</v>
      </c>
      <c r="F11" s="55" t="s">
        <v>3512</v>
      </c>
      <c r="G11" s="55" t="s">
        <v>3745</v>
      </c>
      <c r="H11" s="55" t="s">
        <v>3746</v>
      </c>
      <c r="I11" s="55" t="s">
        <v>3789</v>
      </c>
      <c r="J11" s="55" t="s">
        <v>3749</v>
      </c>
      <c r="K11" s="55" t="s">
        <v>1267</v>
      </c>
      <c r="L11" s="55" t="s">
        <v>3750</v>
      </c>
      <c r="M11" s="55" t="s">
        <v>3751</v>
      </c>
    </row>
    <row r="12" spans="2:22">
      <c r="D12" s="45" t="s">
        <v>3219</v>
      </c>
      <c r="E12" s="45" t="s">
        <v>3225</v>
      </c>
      <c r="F12" s="45" t="s">
        <v>3231</v>
      </c>
      <c r="G12" s="45" t="s">
        <v>3236</v>
      </c>
      <c r="H12" s="45" t="s">
        <v>3239</v>
      </c>
      <c r="I12" s="45" t="s">
        <v>3477</v>
      </c>
      <c r="J12" s="45" t="s">
        <v>3479</v>
      </c>
      <c r="K12" s="45" t="s">
        <v>3599</v>
      </c>
      <c r="L12" s="45" t="s">
        <v>3481</v>
      </c>
      <c r="M12" s="45" t="s">
        <v>3508</v>
      </c>
      <c r="U12" s="13" t="str">
        <f>Show!$B$73&amp;"S.12.02.01.01 Rows {"&amp;COLUMN($C$1)&amp;"}"&amp;"@ForceFilingCode:true"</f>
        <v>!S.12.02.01.01 Rows {3}@ForceFilingCode:true</v>
      </c>
      <c r="V12" s="13" t="str">
        <f>Show!$B$73&amp;"S.12.02.01.01 Columns {"&amp;COLUMN($D$1)&amp;"}"</f>
        <v>!S.12.02.01.01 Columns {4}</v>
      </c>
    </row>
    <row r="13" spans="2:22">
      <c r="B13" s="43" t="s">
        <v>2880</v>
      </c>
      <c r="C13" s="44" t="s">
        <v>2878</v>
      </c>
      <c r="D13" s="56"/>
      <c r="E13" s="66"/>
      <c r="F13" s="66"/>
      <c r="G13" s="66"/>
      <c r="H13" s="66"/>
      <c r="I13" s="66"/>
      <c r="J13" s="66"/>
      <c r="K13" s="66"/>
      <c r="L13" s="66"/>
      <c r="M13" s="57"/>
    </row>
    <row r="14" spans="2:22">
      <c r="B14" s="47" t="s">
        <v>3559</v>
      </c>
      <c r="C14" s="41" t="s">
        <v>2883</v>
      </c>
      <c r="D14" s="60"/>
      <c r="E14" s="60"/>
      <c r="F14" s="60"/>
      <c r="G14" s="60"/>
      <c r="H14" s="60"/>
      <c r="I14" s="60"/>
      <c r="J14" s="60"/>
      <c r="K14" s="60"/>
      <c r="L14" s="60"/>
      <c r="M14" s="60"/>
    </row>
    <row r="15" spans="2:22">
      <c r="B15" s="47" t="s">
        <v>3791</v>
      </c>
      <c r="C15" s="41" t="s">
        <v>2885</v>
      </c>
      <c r="D15" s="60"/>
      <c r="E15" s="60"/>
      <c r="F15" s="60"/>
      <c r="G15" s="60"/>
      <c r="H15" s="60"/>
      <c r="I15" s="60"/>
      <c r="J15" s="60"/>
      <c r="K15" s="60"/>
      <c r="L15" s="60"/>
      <c r="M15" s="60"/>
    </row>
    <row r="16" spans="2:22">
      <c r="B16" s="47" t="s">
        <v>3792</v>
      </c>
      <c r="C16" s="41" t="s">
        <v>2887</v>
      </c>
      <c r="D16" s="60"/>
      <c r="E16" s="60"/>
      <c r="F16" s="60"/>
      <c r="G16" s="60"/>
      <c r="H16" s="60"/>
      <c r="I16" s="60"/>
      <c r="J16" s="60"/>
      <c r="K16" s="60"/>
      <c r="L16" s="60"/>
      <c r="M16" s="60"/>
    </row>
    <row r="18" spans="2:22">
      <c r="U18" s="13" t="str">
        <f>Show!$B$73&amp;Show!$B$73&amp;"S.12.02.01.01 Rows {"&amp;COLUMN($C$1)&amp;"}"</f>
        <v>!!S.12.02.01.01 Rows {3}</v>
      </c>
      <c r="V18" s="13" t="str">
        <f>Show!$B$73&amp;Show!$B$73&amp;"S.12.02.01.01 Columns {"&amp;COLUMN($M$1)&amp;"}"</f>
        <v>!!S.12.02.01.01 Columns {13}</v>
      </c>
    </row>
    <row r="20" spans="2:22" ht="18.75">
      <c r="B20" s="88" t="s">
        <v>3793</v>
      </c>
      <c r="C20" s="87"/>
      <c r="D20" s="87"/>
      <c r="E20" s="87"/>
      <c r="F20" s="87"/>
      <c r="G20" s="87"/>
      <c r="H20" s="87"/>
      <c r="I20" s="87"/>
      <c r="J20" s="87"/>
      <c r="K20" s="87"/>
      <c r="L20" s="87"/>
    </row>
    <row r="24" spans="2:22">
      <c r="D24" s="89" t="s">
        <v>56</v>
      </c>
      <c r="E24" s="92" t="s">
        <v>2877</v>
      </c>
      <c r="F24" s="93"/>
      <c r="G24" s="93"/>
      <c r="H24" s="93"/>
      <c r="I24" s="93"/>
      <c r="J24" s="93"/>
      <c r="K24" s="93"/>
      <c r="L24" s="93"/>
      <c r="M24" s="93"/>
      <c r="N24" s="94"/>
    </row>
    <row r="25" spans="2:22">
      <c r="D25" s="90"/>
      <c r="E25" s="95"/>
      <c r="F25" s="96"/>
      <c r="G25" s="96"/>
      <c r="H25" s="96"/>
      <c r="I25" s="96"/>
      <c r="J25" s="96"/>
      <c r="K25" s="96"/>
      <c r="L25" s="96"/>
      <c r="M25" s="96"/>
      <c r="N25" s="97"/>
    </row>
    <row r="26" spans="2:22" ht="165">
      <c r="D26" s="91"/>
      <c r="E26" s="55" t="s">
        <v>1264</v>
      </c>
      <c r="F26" s="55" t="s">
        <v>3510</v>
      </c>
      <c r="G26" s="55" t="s">
        <v>3512</v>
      </c>
      <c r="H26" s="55" t="s">
        <v>3745</v>
      </c>
      <c r="I26" s="55" t="s">
        <v>3746</v>
      </c>
      <c r="J26" s="55" t="s">
        <v>3789</v>
      </c>
      <c r="K26" s="55" t="s">
        <v>3749</v>
      </c>
      <c r="L26" s="55" t="s">
        <v>1267</v>
      </c>
      <c r="M26" s="55" t="s">
        <v>3750</v>
      </c>
      <c r="N26" s="55" t="s">
        <v>3751</v>
      </c>
    </row>
    <row r="27" spans="2:22">
      <c r="D27" s="45" t="s">
        <v>2879</v>
      </c>
      <c r="E27" s="45" t="s">
        <v>3219</v>
      </c>
      <c r="F27" s="45" t="s">
        <v>3225</v>
      </c>
      <c r="G27" s="45" t="s">
        <v>3231</v>
      </c>
      <c r="H27" s="45" t="s">
        <v>3236</v>
      </c>
      <c r="I27" s="45" t="s">
        <v>3239</v>
      </c>
      <c r="J27" s="45" t="s">
        <v>3477</v>
      </c>
      <c r="K27" s="45" t="s">
        <v>3479</v>
      </c>
      <c r="L27" s="45" t="s">
        <v>3599</v>
      </c>
      <c r="M27" s="45" t="s">
        <v>3481</v>
      </c>
      <c r="N27" s="45" t="s">
        <v>3508</v>
      </c>
      <c r="U27" s="13" t="str">
        <f>Show!$B$73&amp;"S.12.02.01.02 Rows {"&amp;COLUMN($C$1)&amp;"}"&amp;"@ForceFilingCode:true"</f>
        <v>!S.12.02.01.02 Rows {3}@ForceFilingCode:true</v>
      </c>
      <c r="V27" s="13" t="str">
        <f>Show!$B$73&amp;"S.12.02.01.02 Columns {"&amp;COLUMN($D$1)&amp;"}"</f>
        <v>!S.12.02.01.02 Columns {4}</v>
      </c>
    </row>
    <row r="28" spans="2:22">
      <c r="B28" s="43" t="s">
        <v>2880</v>
      </c>
      <c r="C28" s="44" t="s">
        <v>2878</v>
      </c>
      <c r="D28" s="56"/>
      <c r="E28" s="66"/>
      <c r="F28" s="66"/>
      <c r="G28" s="66"/>
      <c r="H28" s="66"/>
      <c r="I28" s="66"/>
      <c r="J28" s="66"/>
      <c r="K28" s="66"/>
      <c r="L28" s="66"/>
      <c r="M28" s="66"/>
      <c r="N28" s="57"/>
    </row>
    <row r="29" spans="2:22">
      <c r="B29" s="47" t="s">
        <v>3794</v>
      </c>
      <c r="C29" s="41" t="s">
        <v>2889</v>
      </c>
      <c r="D29" s="51"/>
      <c r="E29" s="60"/>
      <c r="F29" s="60"/>
      <c r="G29" s="60"/>
      <c r="H29" s="60"/>
      <c r="I29" s="60"/>
      <c r="J29" s="60"/>
      <c r="K29" s="60"/>
      <c r="L29" s="60"/>
      <c r="M29" s="60"/>
      <c r="N29" s="60"/>
    </row>
    <row r="31" spans="2:22">
      <c r="U31" s="13" t="str">
        <f>Show!$B$73&amp;Show!$B$73&amp;"S.12.02.01.02 Rows {"&amp;COLUMN($C$1)&amp;"}"</f>
        <v>!!S.12.02.01.02 Rows {3}</v>
      </c>
      <c r="V31" s="13" t="str">
        <f>Show!$B$73&amp;Show!$B$73&amp;"S.12.02.01.02 Columns {"&amp;COLUMN($N$1)&amp;"}"</f>
        <v>!!S.12.02.01.02 Columns {14}</v>
      </c>
    </row>
  </sheetData>
  <sheetProtection sheet="1" objects="1" scenarios="1"/>
  <mergeCells count="6">
    <mergeCell ref="B2:O2"/>
    <mergeCell ref="B5:L5"/>
    <mergeCell ref="D9:M10"/>
    <mergeCell ref="B20:L20"/>
    <mergeCell ref="D24:D26"/>
    <mergeCell ref="E24:N25"/>
  </mergeCells>
  <dataValidations count="1">
    <dataValidation type="list" errorStyle="warning" allowBlank="1" showInputMessage="1" showErrorMessage="1" sqref="D29" xr:uid="{FD97DBAE-BB9B-412D-A9AC-4E611499D856}">
      <formula1>hier_GA_18</formula1>
    </dataValidation>
  </dataValidation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8E057-8BD7-4B74-8DAB-1FC7545DA41E}">
  <sheetPr codeName="Blad78"/>
  <dimension ref="B2:BG51"/>
  <sheetViews>
    <sheetView showGridLines="0" workbookViewId="0"/>
  </sheetViews>
  <sheetFormatPr defaultRowHeight="15"/>
  <cols>
    <col min="2" max="2" width="53.28515625" bestFit="1" customWidth="1"/>
    <col min="4" max="32" width="15.7109375" customWidth="1"/>
  </cols>
  <sheetData>
    <row r="2" spans="2:59" ht="23.25">
      <c r="B2" s="86" t="s">
        <v>621</v>
      </c>
      <c r="C2" s="87"/>
      <c r="D2" s="87"/>
      <c r="E2" s="87"/>
      <c r="F2" s="87"/>
      <c r="G2" s="87"/>
      <c r="H2" s="87"/>
      <c r="I2" s="87"/>
      <c r="J2" s="87"/>
      <c r="K2" s="87"/>
      <c r="L2" s="87"/>
      <c r="M2" s="87"/>
      <c r="N2" s="87"/>
      <c r="O2" s="87"/>
    </row>
    <row r="5" spans="2:59" ht="18.75">
      <c r="B5" s="88" t="s">
        <v>3795</v>
      </c>
      <c r="C5" s="87"/>
      <c r="D5" s="87"/>
      <c r="E5" s="87"/>
      <c r="F5" s="87"/>
      <c r="G5" s="87"/>
      <c r="H5" s="87"/>
      <c r="I5" s="87"/>
      <c r="J5" s="87"/>
      <c r="K5" s="87"/>
      <c r="L5" s="87"/>
    </row>
    <row r="9" spans="2:59">
      <c r="D9" s="92" t="s">
        <v>2877</v>
      </c>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4"/>
    </row>
    <row r="10" spans="2:59">
      <c r="D10" s="95"/>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7"/>
    </row>
    <row r="11" spans="2:59">
      <c r="D11" s="98" t="s">
        <v>1264</v>
      </c>
      <c r="E11" s="100"/>
      <c r="F11" s="100"/>
      <c r="G11" s="99"/>
      <c r="H11" s="98" t="s">
        <v>3797</v>
      </c>
      <c r="I11" s="100"/>
      <c r="J11" s="100"/>
      <c r="K11" s="99"/>
      <c r="L11" s="98" t="s">
        <v>3512</v>
      </c>
      <c r="M11" s="100"/>
      <c r="N11" s="100"/>
      <c r="O11" s="99"/>
      <c r="P11" s="98" t="s">
        <v>3798</v>
      </c>
      <c r="Q11" s="100"/>
      <c r="R11" s="100"/>
      <c r="S11" s="99"/>
      <c r="T11" s="98" t="s">
        <v>3746</v>
      </c>
      <c r="U11" s="100"/>
      <c r="V11" s="100"/>
      <c r="W11" s="99"/>
      <c r="X11" s="98" t="s">
        <v>3507</v>
      </c>
      <c r="Y11" s="100"/>
      <c r="Z11" s="100"/>
      <c r="AA11" s="99"/>
      <c r="AB11" s="98" t="s">
        <v>1269</v>
      </c>
      <c r="AC11" s="100"/>
      <c r="AD11" s="100"/>
      <c r="AE11" s="99"/>
      <c r="AF11" s="89" t="s">
        <v>3799</v>
      </c>
    </row>
    <row r="12" spans="2:59">
      <c r="D12" s="98" t="s">
        <v>3769</v>
      </c>
      <c r="E12" s="99"/>
      <c r="F12" s="98" t="s">
        <v>3774</v>
      </c>
      <c r="G12" s="99"/>
      <c r="H12" s="98" t="s">
        <v>3769</v>
      </c>
      <c r="I12" s="99"/>
      <c r="J12" s="98" t="s">
        <v>3774</v>
      </c>
      <c r="K12" s="99"/>
      <c r="L12" s="98" t="s">
        <v>3769</v>
      </c>
      <c r="M12" s="99"/>
      <c r="N12" s="98" t="s">
        <v>3774</v>
      </c>
      <c r="O12" s="99"/>
      <c r="P12" s="98" t="s">
        <v>3769</v>
      </c>
      <c r="Q12" s="99"/>
      <c r="R12" s="98" t="s">
        <v>3774</v>
      </c>
      <c r="S12" s="99"/>
      <c r="T12" s="98" t="s">
        <v>3769</v>
      </c>
      <c r="U12" s="99"/>
      <c r="V12" s="98" t="s">
        <v>3774</v>
      </c>
      <c r="W12" s="99"/>
      <c r="X12" s="98" t="s">
        <v>3769</v>
      </c>
      <c r="Y12" s="99"/>
      <c r="Z12" s="98" t="s">
        <v>3774</v>
      </c>
      <c r="AA12" s="99"/>
      <c r="AB12" s="98" t="s">
        <v>3769</v>
      </c>
      <c r="AC12" s="99"/>
      <c r="AD12" s="98" t="s">
        <v>3774</v>
      </c>
      <c r="AE12" s="99"/>
      <c r="AF12" s="90"/>
    </row>
    <row r="13" spans="2:59" ht="60">
      <c r="D13" s="55" t="s">
        <v>3796</v>
      </c>
      <c r="E13" s="55" t="s">
        <v>3773</v>
      </c>
      <c r="F13" s="55" t="s">
        <v>3775</v>
      </c>
      <c r="G13" s="55" t="s">
        <v>3776</v>
      </c>
      <c r="H13" s="55" t="s">
        <v>3796</v>
      </c>
      <c r="I13" s="55" t="s">
        <v>3773</v>
      </c>
      <c r="J13" s="55" t="s">
        <v>3775</v>
      </c>
      <c r="K13" s="55" t="s">
        <v>3776</v>
      </c>
      <c r="L13" s="55" t="s">
        <v>3796</v>
      </c>
      <c r="M13" s="55" t="s">
        <v>3773</v>
      </c>
      <c r="N13" s="55" t="s">
        <v>3775</v>
      </c>
      <c r="O13" s="55" t="s">
        <v>3776</v>
      </c>
      <c r="P13" s="55" t="s">
        <v>3796</v>
      </c>
      <c r="Q13" s="55" t="s">
        <v>3773</v>
      </c>
      <c r="R13" s="55" t="s">
        <v>3775</v>
      </c>
      <c r="S13" s="55" t="s">
        <v>3776</v>
      </c>
      <c r="T13" s="55" t="s">
        <v>3796</v>
      </c>
      <c r="U13" s="55" t="s">
        <v>3773</v>
      </c>
      <c r="V13" s="55" t="s">
        <v>3775</v>
      </c>
      <c r="W13" s="55" t="s">
        <v>3776</v>
      </c>
      <c r="X13" s="55" t="s">
        <v>3796</v>
      </c>
      <c r="Y13" s="55" t="s">
        <v>3773</v>
      </c>
      <c r="Z13" s="55" t="s">
        <v>3775</v>
      </c>
      <c r="AA13" s="55" t="s">
        <v>3776</v>
      </c>
      <c r="AB13" s="55" t="s">
        <v>3796</v>
      </c>
      <c r="AC13" s="55" t="s">
        <v>3773</v>
      </c>
      <c r="AD13" s="55" t="s">
        <v>3775</v>
      </c>
      <c r="AE13" s="55" t="s">
        <v>3776</v>
      </c>
      <c r="AF13" s="91"/>
    </row>
    <row r="14" spans="2:59">
      <c r="D14" s="45" t="s">
        <v>2879</v>
      </c>
      <c r="E14" s="45" t="s">
        <v>3219</v>
      </c>
      <c r="F14" s="45" t="s">
        <v>3225</v>
      </c>
      <c r="G14" s="45" t="s">
        <v>3223</v>
      </c>
      <c r="H14" s="45" t="s">
        <v>3229</v>
      </c>
      <c r="I14" s="45" t="s">
        <v>3231</v>
      </c>
      <c r="J14" s="45" t="s">
        <v>3233</v>
      </c>
      <c r="K14" s="45" t="s">
        <v>3234</v>
      </c>
      <c r="L14" s="45" t="s">
        <v>3236</v>
      </c>
      <c r="M14" s="45" t="s">
        <v>3239</v>
      </c>
      <c r="N14" s="45" t="s">
        <v>3241</v>
      </c>
      <c r="O14" s="45" t="s">
        <v>3243</v>
      </c>
      <c r="P14" s="45" t="s">
        <v>3375</v>
      </c>
      <c r="Q14" s="45" t="s">
        <v>3475</v>
      </c>
      <c r="R14" s="45" t="s">
        <v>3477</v>
      </c>
      <c r="S14" s="45" t="s">
        <v>3479</v>
      </c>
      <c r="T14" s="45" t="s">
        <v>3594</v>
      </c>
      <c r="U14" s="45" t="s">
        <v>3596</v>
      </c>
      <c r="V14" s="45" t="s">
        <v>3599</v>
      </c>
      <c r="W14" s="45" t="s">
        <v>3481</v>
      </c>
      <c r="X14" s="45" t="s">
        <v>3508</v>
      </c>
      <c r="Y14" s="45" t="s">
        <v>3509</v>
      </c>
      <c r="Z14" s="45" t="s">
        <v>3511</v>
      </c>
      <c r="AA14" s="45" t="s">
        <v>3513</v>
      </c>
      <c r="AB14" s="45" t="s">
        <v>3514</v>
      </c>
      <c r="AC14" s="45" t="s">
        <v>3515</v>
      </c>
      <c r="AD14" s="45" t="s">
        <v>3517</v>
      </c>
      <c r="AE14" s="45" t="s">
        <v>3518</v>
      </c>
      <c r="AF14" s="45" t="s">
        <v>3608</v>
      </c>
      <c r="BF14" s="13" t="str">
        <f>Show!$B$74&amp;"S.13.01.01.01 Rows {"&amp;COLUMN($C$1)&amp;"}"&amp;"@ForceFilingCode:true"</f>
        <v>!S.13.01.01.01 Rows {3}@ForceFilingCode:true</v>
      </c>
      <c r="BG14" s="13" t="str">
        <f>Show!$B$74&amp;"S.13.01.01.01 Columns {"&amp;COLUMN($D$1)&amp;"}"</f>
        <v>!S.13.01.01.01 Columns {4}</v>
      </c>
    </row>
    <row r="15" spans="2:59">
      <c r="B15" s="43" t="s">
        <v>2880</v>
      </c>
      <c r="C15" s="44" t="s">
        <v>2878</v>
      </c>
      <c r="D15" s="58"/>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59"/>
    </row>
    <row r="16" spans="2:59">
      <c r="B16" s="47" t="s">
        <v>3800</v>
      </c>
      <c r="C16" s="44" t="s">
        <v>2878</v>
      </c>
      <c r="D16" s="5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57"/>
    </row>
    <row r="17" spans="2:32">
      <c r="B17" s="49" t="s">
        <v>3801</v>
      </c>
      <c r="C17" s="41" t="s">
        <v>2883</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row>
    <row r="18" spans="2:32">
      <c r="B18" s="49" t="s">
        <v>3802</v>
      </c>
      <c r="C18" s="41" t="s">
        <v>2885</v>
      </c>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row>
    <row r="19" spans="2:32">
      <c r="B19" s="49" t="s">
        <v>3803</v>
      </c>
      <c r="C19" s="41" t="s">
        <v>2887</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row>
    <row r="20" spans="2:32">
      <c r="B20" s="49" t="s">
        <v>3804</v>
      </c>
      <c r="C20" s="41" t="s">
        <v>2889</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row>
    <row r="21" spans="2:32">
      <c r="B21" s="49" t="s">
        <v>3805</v>
      </c>
      <c r="C21" s="41" t="s">
        <v>3078</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row>
    <row r="22" spans="2:32">
      <c r="B22" s="49" t="s">
        <v>3806</v>
      </c>
      <c r="C22" s="41" t="s">
        <v>2891</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row>
    <row r="23" spans="2:32">
      <c r="B23" s="49" t="s">
        <v>3807</v>
      </c>
      <c r="C23" s="41" t="s">
        <v>2893</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row>
    <row r="24" spans="2:32">
      <c r="B24" s="49" t="s">
        <v>3808</v>
      </c>
      <c r="C24" s="41" t="s">
        <v>2895</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row>
    <row r="25" spans="2:32">
      <c r="B25" s="49" t="s">
        <v>3809</v>
      </c>
      <c r="C25" s="41" t="s">
        <v>2897</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row>
    <row r="26" spans="2:32">
      <c r="B26" s="49" t="s">
        <v>22</v>
      </c>
      <c r="C26" s="41" t="s">
        <v>2899</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row>
    <row r="27" spans="2:32">
      <c r="B27" s="49" t="s">
        <v>28</v>
      </c>
      <c r="C27" s="41" t="s">
        <v>2901</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row>
    <row r="28" spans="2:32">
      <c r="B28" s="49" t="s">
        <v>31</v>
      </c>
      <c r="C28" s="41" t="s">
        <v>2903</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row>
    <row r="29" spans="2:32">
      <c r="B29" s="49" t="s">
        <v>37</v>
      </c>
      <c r="C29" s="41" t="s">
        <v>2905</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row>
    <row r="30" spans="2:32">
      <c r="B30" s="49" t="s">
        <v>40</v>
      </c>
      <c r="C30" s="41" t="s">
        <v>2907</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row>
    <row r="31" spans="2:32">
      <c r="B31" s="49" t="s">
        <v>44</v>
      </c>
      <c r="C31" s="41" t="s">
        <v>2909</v>
      </c>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row>
    <row r="32" spans="2:32">
      <c r="B32" s="49" t="s">
        <v>47</v>
      </c>
      <c r="C32" s="41" t="s">
        <v>2911</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row>
    <row r="33" spans="2:32">
      <c r="B33" s="49" t="s">
        <v>51</v>
      </c>
      <c r="C33" s="41" t="s">
        <v>2913</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row>
    <row r="34" spans="2:32">
      <c r="B34" s="49" t="s">
        <v>54</v>
      </c>
      <c r="C34" s="41" t="s">
        <v>2915</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row>
    <row r="35" spans="2:32">
      <c r="B35" s="49" t="s">
        <v>58</v>
      </c>
      <c r="C35" s="41" t="s">
        <v>2917</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row>
    <row r="36" spans="2:32">
      <c r="B36" s="49" t="s">
        <v>61</v>
      </c>
      <c r="C36" s="41" t="s">
        <v>2919</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row>
    <row r="37" spans="2:32">
      <c r="B37" s="49" t="s">
        <v>3810</v>
      </c>
      <c r="C37" s="41" t="s">
        <v>2921</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row>
    <row r="38" spans="2:32">
      <c r="B38" s="49" t="s">
        <v>3811</v>
      </c>
      <c r="C38" s="41" t="s">
        <v>2923</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row>
    <row r="39" spans="2:32">
      <c r="B39" s="49" t="s">
        <v>3812</v>
      </c>
      <c r="C39" s="41" t="s">
        <v>2925</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row>
    <row r="40" spans="2:32">
      <c r="B40" s="49" t="s">
        <v>3813</v>
      </c>
      <c r="C40" s="41" t="s">
        <v>2927</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row>
    <row r="41" spans="2:32">
      <c r="B41" s="49" t="s">
        <v>3814</v>
      </c>
      <c r="C41" s="41" t="s">
        <v>2929</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row>
    <row r="42" spans="2:32">
      <c r="B42" s="49" t="s">
        <v>3815</v>
      </c>
      <c r="C42" s="41" t="s">
        <v>2931</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row>
    <row r="43" spans="2:32">
      <c r="B43" s="49" t="s">
        <v>3816</v>
      </c>
      <c r="C43" s="41" t="s">
        <v>2933</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row>
    <row r="44" spans="2:32">
      <c r="B44" s="49" t="s">
        <v>3817</v>
      </c>
      <c r="C44" s="41" t="s">
        <v>2935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row>
    <row r="45" spans="2:32">
      <c r="B45" s="49" t="s">
        <v>3818</v>
      </c>
      <c r="C45" s="41" t="s">
        <v>2937</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row>
    <row r="46" spans="2:32">
      <c r="B46" s="49" t="s">
        <v>3819</v>
      </c>
      <c r="C46" s="41" t="s">
        <v>2939</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row>
    <row r="47" spans="2:32">
      <c r="B47" s="49" t="s">
        <v>3820</v>
      </c>
      <c r="C47" s="41" t="s">
        <v>2941</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row>
    <row r="48" spans="2:32">
      <c r="B48" s="49" t="s">
        <v>3821</v>
      </c>
      <c r="C48" s="41" t="s">
        <v>2943</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row>
    <row r="49" spans="2:59">
      <c r="B49" s="49" t="s">
        <v>3822</v>
      </c>
      <c r="C49" s="41" t="s">
        <v>2945</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row>
    <row r="51" spans="2:59">
      <c r="BF51" s="13" t="str">
        <f>Show!$B$74&amp;Show!$B$74&amp;"S.13.01.01.01 Rows {"&amp;COLUMN($C$1)&amp;"}"</f>
        <v>!!S.13.01.01.01 Rows {3}</v>
      </c>
      <c r="BG51" s="13" t="str">
        <f>Show!$B$74&amp;Show!$B$74&amp;"S.13.01.01.01 Columns {"&amp;COLUMN($AF$1)&amp;"}"</f>
        <v>!!S.13.01.01.01 Columns {32}</v>
      </c>
    </row>
  </sheetData>
  <sheetProtection sheet="1" objects="1" scenarios="1"/>
  <mergeCells count="25">
    <mergeCell ref="B2:O2"/>
    <mergeCell ref="B5:L5"/>
    <mergeCell ref="D9:AF10"/>
    <mergeCell ref="D11:G11"/>
    <mergeCell ref="H11:K11"/>
    <mergeCell ref="L11:O11"/>
    <mergeCell ref="P11:S11"/>
    <mergeCell ref="T11:W11"/>
    <mergeCell ref="X11:AA11"/>
    <mergeCell ref="AB11:AE11"/>
    <mergeCell ref="AF11:AF13"/>
    <mergeCell ref="D12:E12"/>
    <mergeCell ref="F12:G12"/>
    <mergeCell ref="H12:I12"/>
    <mergeCell ref="J12:K12"/>
    <mergeCell ref="L12:M12"/>
    <mergeCell ref="X12:Y12"/>
    <mergeCell ref="Z12:AA12"/>
    <mergeCell ref="AB12:AC12"/>
    <mergeCell ref="AD12:AE12"/>
    <mergeCell ref="N12:O12"/>
    <mergeCell ref="P12:Q12"/>
    <mergeCell ref="R12:S12"/>
    <mergeCell ref="T12:U12"/>
    <mergeCell ref="V12:W12"/>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647F4-3A8E-49E4-9976-21602C0DBA67}">
  <sheetPr codeName="Blad79"/>
  <dimension ref="B2:U51"/>
  <sheetViews>
    <sheetView showGridLines="0" workbookViewId="0"/>
  </sheetViews>
  <sheetFormatPr defaultRowHeight="15"/>
  <cols>
    <col min="2" max="2" width="17.42578125" bestFit="1" customWidth="1"/>
    <col min="3" max="6" width="15.7109375" customWidth="1"/>
    <col min="7" max="8" width="40.7109375" customWidth="1"/>
    <col min="9" max="9" width="15.7109375" customWidth="1"/>
    <col min="10" max="10" width="40.7109375" customWidth="1"/>
  </cols>
  <sheetData>
    <row r="2" spans="2:21" ht="23.25">
      <c r="B2" s="86" t="s">
        <v>623</v>
      </c>
      <c r="C2" s="87"/>
      <c r="D2" s="87"/>
      <c r="E2" s="87"/>
      <c r="F2" s="87"/>
      <c r="G2" s="87"/>
      <c r="H2" s="87"/>
      <c r="I2" s="87"/>
      <c r="J2" s="87"/>
      <c r="K2" s="87"/>
      <c r="L2" s="87"/>
      <c r="M2" s="87"/>
      <c r="N2" s="87"/>
      <c r="O2" s="87"/>
    </row>
    <row r="5" spans="2:21" ht="18.75">
      <c r="B5" s="88" t="s">
        <v>3823</v>
      </c>
      <c r="C5" s="87"/>
      <c r="D5" s="87"/>
      <c r="E5" s="87"/>
      <c r="F5" s="87"/>
      <c r="G5" s="87"/>
      <c r="H5" s="87"/>
      <c r="I5" s="87"/>
      <c r="J5" s="87"/>
      <c r="K5" s="87"/>
      <c r="L5" s="87"/>
    </row>
    <row r="9" spans="2:21">
      <c r="B9" s="89" t="s">
        <v>3374</v>
      </c>
      <c r="C9" s="89" t="s">
        <v>3824</v>
      </c>
      <c r="D9" s="89" t="s">
        <v>3322</v>
      </c>
      <c r="E9" s="92" t="s">
        <v>2877</v>
      </c>
      <c r="F9" s="93"/>
      <c r="G9" s="93"/>
      <c r="H9" s="93"/>
      <c r="I9" s="93"/>
      <c r="J9" s="94"/>
    </row>
    <row r="10" spans="2:21">
      <c r="B10" s="90"/>
      <c r="C10" s="90"/>
      <c r="D10" s="90"/>
      <c r="E10" s="95"/>
      <c r="F10" s="96"/>
      <c r="G10" s="96"/>
      <c r="H10" s="96"/>
      <c r="I10" s="96"/>
      <c r="J10" s="97"/>
    </row>
    <row r="11" spans="2:21" ht="45">
      <c r="B11" s="91"/>
      <c r="C11" s="91"/>
      <c r="D11" s="91"/>
      <c r="E11" s="55" t="s">
        <v>3825</v>
      </c>
      <c r="F11" s="55" t="s">
        <v>3826</v>
      </c>
      <c r="G11" s="55" t="s">
        <v>3827</v>
      </c>
      <c r="H11" s="55" t="s">
        <v>3828</v>
      </c>
      <c r="I11" s="55" t="s">
        <v>3829</v>
      </c>
      <c r="J11" s="55" t="s">
        <v>56</v>
      </c>
    </row>
    <row r="12" spans="2:21">
      <c r="B12" s="42" t="s">
        <v>3513</v>
      </c>
      <c r="C12" s="42" t="s">
        <v>2879</v>
      </c>
      <c r="D12" s="42" t="s">
        <v>3219</v>
      </c>
      <c r="E12" s="42" t="s">
        <v>3225</v>
      </c>
      <c r="F12" s="42" t="s">
        <v>3223</v>
      </c>
      <c r="G12" s="42" t="s">
        <v>3229</v>
      </c>
      <c r="H12" s="42" t="s">
        <v>3231</v>
      </c>
      <c r="I12" s="42" t="s">
        <v>3233</v>
      </c>
      <c r="J12" s="42" t="s">
        <v>3234</v>
      </c>
      <c r="T12" s="13" t="str">
        <f>Show!$B$75&amp;"S.14.01.01.01 Rows {"&amp;COLUMN($B$1)&amp;"}"&amp;"@ForceFilingCode:true"</f>
        <v>!S.14.01.01.01 Rows {2}@ForceFilingCode:true</v>
      </c>
      <c r="U12" s="13" t="str">
        <f>Show!$B$75&amp;"S.14.01.01.01 Columns {"&amp;COLUMN($B$1)&amp;"}"</f>
        <v>!S.14.01.01.01 Columns {2}</v>
      </c>
    </row>
    <row r="13" spans="2:21">
      <c r="B13" s="50"/>
      <c r="C13" s="50"/>
      <c r="D13" s="50"/>
      <c r="E13" s="51"/>
      <c r="F13" s="50"/>
      <c r="G13" s="50"/>
      <c r="H13" s="60"/>
      <c r="I13" s="60"/>
      <c r="J13" s="51"/>
    </row>
    <row r="15" spans="2:21">
      <c r="T15" s="13" t="str">
        <f>Show!$B$75&amp;Show!$B$75&amp;"S.14.01.01.01 Rows {"&amp;COLUMN($B$1)&amp;"}"</f>
        <v>!!S.14.01.01.01 Rows {2}</v>
      </c>
      <c r="U15" s="13" t="str">
        <f>Show!$B$75&amp;Show!$B$75&amp;"S.14.01.01.01 Columns {"&amp;COLUMN($J$1)&amp;"}"</f>
        <v>!!S.14.01.01.01 Columns {10}</v>
      </c>
    </row>
    <row r="17" spans="2:21" ht="18.75">
      <c r="B17" s="88" t="s">
        <v>3830</v>
      </c>
      <c r="C17" s="87"/>
      <c r="D17" s="87"/>
      <c r="E17" s="87"/>
      <c r="F17" s="87"/>
      <c r="G17" s="87"/>
      <c r="H17" s="87"/>
      <c r="I17" s="87"/>
      <c r="J17" s="87"/>
      <c r="K17" s="87"/>
      <c r="L17" s="87"/>
    </row>
    <row r="21" spans="2:21">
      <c r="B21" s="89" t="s">
        <v>3824</v>
      </c>
      <c r="C21" s="92" t="s">
        <v>2877</v>
      </c>
      <c r="D21" s="93"/>
      <c r="E21" s="93"/>
      <c r="F21" s="93"/>
      <c r="G21" s="93"/>
      <c r="H21" s="93"/>
      <c r="I21" s="94"/>
    </row>
    <row r="22" spans="2:21">
      <c r="B22" s="90"/>
      <c r="C22" s="95"/>
      <c r="D22" s="96"/>
      <c r="E22" s="96"/>
      <c r="F22" s="96"/>
      <c r="G22" s="96"/>
      <c r="H22" s="96"/>
      <c r="I22" s="97"/>
    </row>
    <row r="23" spans="2:21" ht="45">
      <c r="B23" s="91"/>
      <c r="C23" s="55" t="s">
        <v>3831</v>
      </c>
      <c r="D23" s="55" t="s">
        <v>3832</v>
      </c>
      <c r="E23" s="55" t="s">
        <v>3833</v>
      </c>
      <c r="F23" s="55" t="s">
        <v>3834</v>
      </c>
      <c r="G23" s="55" t="s">
        <v>3835</v>
      </c>
      <c r="H23" s="55" t="s">
        <v>3836</v>
      </c>
      <c r="I23" s="55" t="s">
        <v>3837</v>
      </c>
    </row>
    <row r="24" spans="2:21">
      <c r="B24" s="42" t="s">
        <v>3236</v>
      </c>
      <c r="C24" s="42" t="s">
        <v>3239</v>
      </c>
      <c r="D24" s="42" t="s">
        <v>3241</v>
      </c>
      <c r="E24" s="42" t="s">
        <v>3243</v>
      </c>
      <c r="F24" s="42" t="s">
        <v>3375</v>
      </c>
      <c r="G24" s="42" t="s">
        <v>3475</v>
      </c>
      <c r="H24" s="42" t="s">
        <v>3477</v>
      </c>
      <c r="I24" s="42" t="s">
        <v>3479</v>
      </c>
      <c r="T24" s="13" t="str">
        <f>Show!$B$75&amp;"S.14.01.01.02 Rows {"&amp;COLUMN($B$1)&amp;"}"&amp;"@ForceFilingCode:true"</f>
        <v>!S.14.01.01.02 Rows {2}@ForceFilingCode:true</v>
      </c>
      <c r="U24" s="13" t="str">
        <f>Show!$B$75&amp;"S.14.01.01.02 Columns {"&amp;COLUMN($B$1)&amp;"}"</f>
        <v>!S.14.01.01.02 Columns {2}</v>
      </c>
    </row>
    <row r="25" spans="2:21">
      <c r="B25" s="50"/>
      <c r="C25" s="51"/>
      <c r="D25" s="51"/>
      <c r="E25" s="51"/>
      <c r="F25" s="51"/>
      <c r="G25" s="51"/>
      <c r="H25" s="51"/>
      <c r="I25" s="50"/>
    </row>
    <row r="27" spans="2:21">
      <c r="T27" s="13" t="str">
        <f>Show!$B$75&amp;Show!$B$75&amp;"S.14.01.01.02 Rows {"&amp;COLUMN($B$1)&amp;"}"</f>
        <v>!!S.14.01.01.02 Rows {2}</v>
      </c>
      <c r="U27" s="13" t="str">
        <f>Show!$B$75&amp;Show!$B$75&amp;"S.14.01.01.02 Columns {"&amp;COLUMN($I$1)&amp;"}"</f>
        <v>!!S.14.01.01.02 Columns {9}</v>
      </c>
    </row>
    <row r="29" spans="2:21" ht="18.75">
      <c r="B29" s="88" t="s">
        <v>3838</v>
      </c>
      <c r="C29" s="87"/>
      <c r="D29" s="87"/>
      <c r="E29" s="87"/>
      <c r="F29" s="87"/>
      <c r="G29" s="87"/>
      <c r="H29" s="87"/>
      <c r="I29" s="87"/>
      <c r="J29" s="87"/>
      <c r="K29" s="87"/>
      <c r="L29" s="87"/>
    </row>
    <row r="33" spans="2:21">
      <c r="B33" s="89" t="s">
        <v>3839</v>
      </c>
      <c r="C33" s="92" t="s">
        <v>2877</v>
      </c>
      <c r="D33" s="93"/>
      <c r="E33" s="93"/>
      <c r="F33" s="94"/>
    </row>
    <row r="34" spans="2:21">
      <c r="B34" s="90"/>
      <c r="C34" s="95"/>
      <c r="D34" s="96"/>
      <c r="E34" s="96"/>
      <c r="F34" s="97"/>
    </row>
    <row r="35" spans="2:21" ht="75">
      <c r="B35" s="91"/>
      <c r="C35" s="55" t="s">
        <v>3840</v>
      </c>
      <c r="D35" s="55" t="s">
        <v>3841</v>
      </c>
      <c r="E35" s="55" t="s">
        <v>3778</v>
      </c>
      <c r="F35" s="55" t="s">
        <v>3842</v>
      </c>
    </row>
    <row r="36" spans="2:21">
      <c r="B36" s="42" t="s">
        <v>3594</v>
      </c>
      <c r="C36" s="42" t="s">
        <v>3596</v>
      </c>
      <c r="D36" s="42" t="s">
        <v>3599</v>
      </c>
      <c r="E36" s="42" t="s">
        <v>3481</v>
      </c>
      <c r="F36" s="42" t="s">
        <v>3515</v>
      </c>
      <c r="T36" s="13" t="str">
        <f>Show!$B$75&amp;"S.14.01.01.03 Rows {"&amp;COLUMN($B$1)&amp;"}"&amp;"@ForceFilingCode:true"</f>
        <v>!S.14.01.01.03 Rows {2}@ForceFilingCode:true</v>
      </c>
      <c r="U36" s="13" t="str">
        <f>Show!$B$75&amp;"S.14.01.01.03 Columns {"&amp;COLUMN($B$1)&amp;"}"</f>
        <v>!S.14.01.01.03 Columns {2}</v>
      </c>
    </row>
    <row r="37" spans="2:21">
      <c r="B37" s="50"/>
      <c r="C37" s="60"/>
      <c r="D37" s="60"/>
      <c r="E37" s="60"/>
      <c r="F37" s="70"/>
    </row>
    <row r="39" spans="2:21">
      <c r="T39" s="13" t="str">
        <f>Show!$B$75&amp;Show!$B$75&amp;"S.14.01.01.03 Rows {"&amp;COLUMN($B$1)&amp;"}"</f>
        <v>!!S.14.01.01.03 Rows {2}</v>
      </c>
      <c r="U39" s="13" t="str">
        <f>Show!$B$75&amp;Show!$B$75&amp;"S.14.01.01.03 Columns {"&amp;COLUMN($F$1)&amp;"}"</f>
        <v>!!S.14.01.01.03 Columns {6}</v>
      </c>
    </row>
    <row r="41" spans="2:21" ht="18.75">
      <c r="B41" s="88" t="s">
        <v>3843</v>
      </c>
      <c r="C41" s="87"/>
      <c r="D41" s="87"/>
      <c r="E41" s="87"/>
      <c r="F41" s="87"/>
      <c r="G41" s="87"/>
      <c r="H41" s="87"/>
      <c r="I41" s="87"/>
      <c r="J41" s="87"/>
      <c r="K41" s="87"/>
      <c r="L41" s="87"/>
    </row>
    <row r="45" spans="2:21">
      <c r="B45" s="89" t="s">
        <v>3824</v>
      </c>
      <c r="C45" s="89" t="s">
        <v>3839</v>
      </c>
      <c r="D45" s="89" t="s">
        <v>2877</v>
      </c>
    </row>
    <row r="46" spans="2:21">
      <c r="B46" s="90"/>
      <c r="C46" s="90"/>
      <c r="D46" s="91"/>
    </row>
    <row r="47" spans="2:21">
      <c r="B47" s="91"/>
      <c r="C47" s="91"/>
      <c r="D47" s="55" t="s">
        <v>3844</v>
      </c>
    </row>
    <row r="48" spans="2:21">
      <c r="B48" s="42" t="s">
        <v>3509</v>
      </c>
      <c r="C48" s="42" t="s">
        <v>3511</v>
      </c>
      <c r="D48" s="42" t="s">
        <v>3514</v>
      </c>
      <c r="T48" s="13" t="str">
        <f>Show!$B$75&amp;"S.14.01.01.04 Rows {"&amp;COLUMN($B$1)&amp;"}"&amp;"@ForceFilingCode:true"</f>
        <v>!S.14.01.01.04 Rows {2}@ForceFilingCode:true</v>
      </c>
      <c r="U48" s="13" t="str">
        <f>Show!$B$75&amp;"S.14.01.01.04 Columns {"&amp;COLUMN($B$1)&amp;"}"</f>
        <v>!S.14.01.01.04 Columns {2}</v>
      </c>
    </row>
    <row r="49" spans="2:21">
      <c r="B49" s="50"/>
      <c r="C49" s="50"/>
      <c r="D49" s="50"/>
    </row>
    <row r="51" spans="2:21">
      <c r="T51" s="13" t="str">
        <f>Show!$B$75&amp;Show!$B$75&amp;"S.14.01.01.04 Rows {"&amp;COLUMN($B$1)&amp;"}"</f>
        <v>!!S.14.01.01.04 Rows {2}</v>
      </c>
      <c r="U51" s="13" t="str">
        <f>Show!$B$75&amp;Show!$B$75&amp;"S.14.01.01.04 Columns {"&amp;COLUMN($D$1)&amp;"}"</f>
        <v>!!S.14.01.01.04 Columns {4}</v>
      </c>
    </row>
  </sheetData>
  <sheetProtection sheet="1" objects="1" scenarios="1"/>
  <mergeCells count="16">
    <mergeCell ref="B2:O2"/>
    <mergeCell ref="B5:L5"/>
    <mergeCell ref="B9:B11"/>
    <mergeCell ref="C9:C11"/>
    <mergeCell ref="D9:D11"/>
    <mergeCell ref="E9:J10"/>
    <mergeCell ref="B41:L41"/>
    <mergeCell ref="B45:B47"/>
    <mergeCell ref="C45:C47"/>
    <mergeCell ref="D45:D46"/>
    <mergeCell ref="B17:L17"/>
    <mergeCell ref="B21:B23"/>
    <mergeCell ref="C21:I22"/>
    <mergeCell ref="B29:L29"/>
    <mergeCell ref="B33:B35"/>
    <mergeCell ref="C33:F34"/>
  </mergeCells>
  <dataValidations count="5">
    <dataValidation type="list" errorStyle="warning" allowBlank="1" showInputMessage="1" showErrorMessage="1" sqref="E13" xr:uid="{007B618F-0D2E-429F-809D-094C63268A2F}">
      <formula1>hier_LB_50</formula1>
    </dataValidation>
    <dataValidation type="list" errorStyle="warning" allowBlank="1" showInputMessage="1" showErrorMessage="1" sqref="C25" xr:uid="{5EDC80E5-8F58-4D17-80B6-19F98350BC77}">
      <formula1>hier_LB_48</formula1>
    </dataValidation>
    <dataValidation type="list" errorStyle="warning" allowBlank="1" showInputMessage="1" showErrorMessage="1" sqref="F25" xr:uid="{BDE1ADB8-5D68-4723-B2F8-BA1E812768F4}">
      <formula1>hier_LB_19</formula1>
    </dataValidation>
    <dataValidation type="list" errorStyle="warning" allowBlank="1" showInputMessage="1" showErrorMessage="1" sqref="G25" xr:uid="{0F13B65A-E513-4B33-94CF-ABCAD534A524}">
      <formula1>hier_LB_28</formula1>
    </dataValidation>
    <dataValidation type="list" errorStyle="warning" allowBlank="1" showInputMessage="1" showErrorMessage="1" sqref="H25" xr:uid="{C436EF21-D04E-4E3F-A583-B6368D3DF4F9}">
      <formula1>hier_LB_22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05D96-9F64-4425-AAC2-7D61B82227F1}">
  <sheetPr codeName="Blad8"/>
  <dimension ref="B2:O63"/>
  <sheetViews>
    <sheetView showGridLines="0" topLeftCell="A34" workbookViewId="0"/>
  </sheetViews>
  <sheetFormatPr defaultRowHeight="15"/>
  <cols>
    <col min="2" max="2" width="85.28515625" bestFit="1" customWidth="1"/>
    <col min="4" max="4" width="40.7109375" customWidth="1"/>
  </cols>
  <sheetData>
    <row r="2" spans="2:15" ht="23.25">
      <c r="B2" s="86" t="s">
        <v>512</v>
      </c>
      <c r="C2" s="87"/>
      <c r="D2" s="87"/>
      <c r="E2" s="87"/>
      <c r="F2" s="87"/>
      <c r="G2" s="87"/>
      <c r="H2" s="87"/>
      <c r="I2" s="87"/>
      <c r="J2" s="87"/>
      <c r="K2" s="87"/>
      <c r="L2" s="87"/>
      <c r="M2" s="87"/>
      <c r="N2" s="87"/>
      <c r="O2" s="87"/>
    </row>
    <row r="5" spans="2:15" ht="18.75">
      <c r="B5" s="88" t="s">
        <v>3029</v>
      </c>
      <c r="C5" s="87"/>
      <c r="D5" s="87"/>
      <c r="E5" s="87"/>
      <c r="F5" s="87"/>
      <c r="G5" s="87"/>
      <c r="H5" s="87"/>
      <c r="I5" s="87"/>
      <c r="J5" s="87"/>
      <c r="K5" s="87"/>
      <c r="L5" s="87"/>
    </row>
    <row r="9" spans="2:15">
      <c r="D9" s="89" t="s">
        <v>2877</v>
      </c>
    </row>
    <row r="10" spans="2:15">
      <c r="D10" s="90"/>
    </row>
    <row r="11" spans="2:15">
      <c r="D11" s="90"/>
    </row>
    <row r="12" spans="2:15">
      <c r="D12" s="91"/>
    </row>
    <row r="13" spans="2:15">
      <c r="D13" s="45" t="s">
        <v>2879</v>
      </c>
      <c r="I13" s="13" t="str">
        <f>IF(COUNTIF(D:D,"Reported")&gt;0,Show!$B$4,"!")&amp;"S.01.01.04.01 Rows {"&amp;COLUMN($C$1)&amp;"}"&amp;"@ForceFilingCode:true"</f>
        <v>!S.01.01.04.01 Rows {3}@ForceFilingCode:true</v>
      </c>
      <c r="J13" s="13" t="str">
        <f>IF(COUNTIF(D:D,"Reported")&gt;0,Show!$B$4,"!")&amp;"S.01.01.04.01 Columns {"&amp;COLUMN($D$1)&amp;"}"</f>
        <v>!S.01.01.04.01 Columns {4}</v>
      </c>
    </row>
    <row r="14" spans="2:15">
      <c r="B14" s="43" t="s">
        <v>2880</v>
      </c>
      <c r="C14" s="44" t="s">
        <v>2878</v>
      </c>
      <c r="D14" s="48"/>
    </row>
    <row r="15" spans="2:15">
      <c r="B15" s="47" t="s">
        <v>2881</v>
      </c>
      <c r="C15" s="44" t="s">
        <v>2878</v>
      </c>
      <c r="D15" s="46"/>
    </row>
    <row r="16" spans="2:15">
      <c r="B16" s="52" t="s">
        <v>3030</v>
      </c>
      <c r="C16" s="41" t="s">
        <v>2883</v>
      </c>
      <c r="D16" s="51"/>
    </row>
    <row r="17" spans="2:4">
      <c r="B17" s="52" t="s">
        <v>3031</v>
      </c>
      <c r="C17" s="41" t="s">
        <v>2885</v>
      </c>
      <c r="D17" s="51"/>
    </row>
    <row r="18" spans="2:4">
      <c r="B18" s="52" t="s">
        <v>2886</v>
      </c>
      <c r="C18" s="41" t="s">
        <v>2887</v>
      </c>
      <c r="D18" s="51"/>
    </row>
    <row r="19" spans="2:4">
      <c r="B19" s="52" t="s">
        <v>2888</v>
      </c>
      <c r="C19" s="41" t="s">
        <v>2889</v>
      </c>
      <c r="D19" s="51"/>
    </row>
    <row r="20" spans="2:4">
      <c r="B20" s="52" t="s">
        <v>3032</v>
      </c>
      <c r="C20" s="41" t="s">
        <v>2891</v>
      </c>
      <c r="D20" s="51"/>
    </row>
    <row r="21" spans="2:4">
      <c r="B21" s="52" t="s">
        <v>3033</v>
      </c>
      <c r="C21" s="41" t="s">
        <v>2893</v>
      </c>
      <c r="D21" s="51"/>
    </row>
    <row r="22" spans="2:4">
      <c r="B22" s="52" t="s">
        <v>3034</v>
      </c>
      <c r="C22" s="41" t="s">
        <v>2895</v>
      </c>
      <c r="D22" s="51"/>
    </row>
    <row r="23" spans="2:4">
      <c r="B23" s="52" t="s">
        <v>2900</v>
      </c>
      <c r="C23" s="41" t="s">
        <v>2901</v>
      </c>
      <c r="D23" s="51"/>
    </row>
    <row r="24" spans="2:4">
      <c r="B24" s="52" t="s">
        <v>2902</v>
      </c>
      <c r="C24" s="41" t="s">
        <v>2903</v>
      </c>
      <c r="D24" s="51"/>
    </row>
    <row r="25" spans="2:4">
      <c r="B25" s="52" t="s">
        <v>2904</v>
      </c>
      <c r="C25" s="41" t="s">
        <v>2905</v>
      </c>
      <c r="D25" s="51"/>
    </row>
    <row r="26" spans="2:4">
      <c r="B26" s="52" t="s">
        <v>3035</v>
      </c>
      <c r="C26" s="41" t="s">
        <v>2907</v>
      </c>
      <c r="D26" s="51"/>
    </row>
    <row r="27" spans="2:4">
      <c r="B27" s="52" t="s">
        <v>3036</v>
      </c>
      <c r="C27" s="41" t="s">
        <v>2909</v>
      </c>
      <c r="D27" s="51"/>
    </row>
    <row r="28" spans="2:4">
      <c r="B28" s="52" t="s">
        <v>3037</v>
      </c>
      <c r="C28" s="41" t="s">
        <v>2911</v>
      </c>
      <c r="D28" s="51"/>
    </row>
    <row r="29" spans="2:4">
      <c r="B29" s="52" t="s">
        <v>3038</v>
      </c>
      <c r="C29" s="41" t="s">
        <v>2913</v>
      </c>
      <c r="D29" s="51"/>
    </row>
    <row r="30" spans="2:4">
      <c r="B30" s="52" t="s">
        <v>3039</v>
      </c>
      <c r="C30" s="41" t="s">
        <v>2915</v>
      </c>
      <c r="D30" s="51"/>
    </row>
    <row r="31" spans="2:4">
      <c r="B31" s="52" t="s">
        <v>3040</v>
      </c>
      <c r="C31" s="41" t="s">
        <v>2917</v>
      </c>
      <c r="D31" s="51"/>
    </row>
    <row r="32" spans="2:4">
      <c r="B32" s="52" t="s">
        <v>3041</v>
      </c>
      <c r="C32" s="41" t="s">
        <v>2919</v>
      </c>
      <c r="D32" s="51"/>
    </row>
    <row r="33" spans="2:4">
      <c r="B33" s="52" t="s">
        <v>3042</v>
      </c>
      <c r="C33" s="41" t="s">
        <v>2921</v>
      </c>
      <c r="D33" s="51"/>
    </row>
    <row r="34" spans="2:4">
      <c r="B34" s="52" t="s">
        <v>3043</v>
      </c>
      <c r="C34" s="41" t="s">
        <v>2931</v>
      </c>
      <c r="D34" s="51"/>
    </row>
    <row r="35" spans="2:4">
      <c r="B35" s="52" t="s">
        <v>3044</v>
      </c>
      <c r="C35" s="41" t="s">
        <v>2933</v>
      </c>
      <c r="D35" s="51"/>
    </row>
    <row r="36" spans="2:4">
      <c r="B36" s="52" t="s">
        <v>3045</v>
      </c>
      <c r="C36" s="41" t="s">
        <v>2953</v>
      </c>
      <c r="D36" s="51"/>
    </row>
    <row r="37" spans="2:4">
      <c r="B37" s="52" t="s">
        <v>3046</v>
      </c>
      <c r="C37" s="41" t="s">
        <v>2961</v>
      </c>
      <c r="D37" s="51"/>
    </row>
    <row r="38" spans="2:4">
      <c r="B38" s="52" t="s">
        <v>3047</v>
      </c>
      <c r="C38" s="41" t="s">
        <v>2963</v>
      </c>
      <c r="D38" s="51"/>
    </row>
    <row r="39" spans="2:4">
      <c r="B39" s="52" t="s">
        <v>3048</v>
      </c>
      <c r="C39" s="41" t="s">
        <v>2965</v>
      </c>
      <c r="D39" s="51"/>
    </row>
    <row r="40" spans="2:4">
      <c r="B40" s="52" t="s">
        <v>3049</v>
      </c>
      <c r="C40" s="41" t="s">
        <v>2967</v>
      </c>
      <c r="D40" s="51"/>
    </row>
    <row r="41" spans="2:4">
      <c r="B41" s="52" t="s">
        <v>3050</v>
      </c>
      <c r="C41" s="41" t="s">
        <v>2971</v>
      </c>
      <c r="D41" s="51"/>
    </row>
    <row r="42" spans="2:4" ht="30">
      <c r="B42" s="52" t="s">
        <v>3051</v>
      </c>
      <c r="C42" s="41" t="s">
        <v>2973</v>
      </c>
      <c r="D42" s="51"/>
    </row>
    <row r="43" spans="2:4">
      <c r="B43" s="52" t="s">
        <v>3052</v>
      </c>
      <c r="C43" s="41" t="s">
        <v>2975</v>
      </c>
      <c r="D43" s="51"/>
    </row>
    <row r="44" spans="2:4">
      <c r="B44" s="52" t="s">
        <v>3053</v>
      </c>
      <c r="C44" s="41" t="s">
        <v>2977</v>
      </c>
      <c r="D44" s="51"/>
    </row>
    <row r="45" spans="2:4">
      <c r="B45" s="52" t="s">
        <v>3054</v>
      </c>
      <c r="C45" s="41" t="s">
        <v>2979</v>
      </c>
      <c r="D45" s="51"/>
    </row>
    <row r="46" spans="2:4">
      <c r="B46" s="52" t="s">
        <v>3055</v>
      </c>
      <c r="C46" s="41" t="s">
        <v>2981</v>
      </c>
      <c r="D46" s="51"/>
    </row>
    <row r="47" spans="2:4">
      <c r="B47" s="52" t="s">
        <v>3056</v>
      </c>
      <c r="C47" s="41" t="s">
        <v>2983</v>
      </c>
      <c r="D47" s="51"/>
    </row>
    <row r="48" spans="2:4">
      <c r="B48" s="52" t="s">
        <v>3057</v>
      </c>
      <c r="C48" s="41" t="s">
        <v>2985</v>
      </c>
      <c r="D48" s="51"/>
    </row>
    <row r="49" spans="2:10">
      <c r="B49" s="52" t="s">
        <v>3058</v>
      </c>
      <c r="C49" s="41" t="s">
        <v>2987</v>
      </c>
      <c r="D49" s="51"/>
    </row>
    <row r="50" spans="2:10">
      <c r="B50" s="52" t="s">
        <v>3059</v>
      </c>
      <c r="C50" s="41" t="s">
        <v>2989</v>
      </c>
      <c r="D50" s="51"/>
    </row>
    <row r="51" spans="2:10">
      <c r="B51" s="52" t="s">
        <v>3060</v>
      </c>
      <c r="C51" s="41" t="s">
        <v>2991</v>
      </c>
      <c r="D51" s="51"/>
    </row>
    <row r="52" spans="2:10">
      <c r="B52" s="52" t="s">
        <v>3061</v>
      </c>
      <c r="C52" s="41" t="s">
        <v>3013</v>
      </c>
      <c r="D52" s="51"/>
    </row>
    <row r="53" spans="2:10">
      <c r="B53" s="52" t="s">
        <v>3062</v>
      </c>
      <c r="C53" s="41" t="s">
        <v>3015</v>
      </c>
      <c r="D53" s="51"/>
    </row>
    <row r="54" spans="2:10">
      <c r="B54" s="52" t="s">
        <v>3063</v>
      </c>
      <c r="C54" s="41" t="s">
        <v>3064</v>
      </c>
      <c r="D54" s="51"/>
    </row>
    <row r="55" spans="2:10">
      <c r="B55" s="52" t="s">
        <v>3065</v>
      </c>
      <c r="C55" s="41" t="s">
        <v>3066</v>
      </c>
      <c r="D55" s="51"/>
    </row>
    <row r="56" spans="2:10" ht="45">
      <c r="B56" s="52" t="s">
        <v>3067</v>
      </c>
      <c r="C56" s="41" t="s">
        <v>3068</v>
      </c>
      <c r="D56" s="51"/>
    </row>
    <row r="57" spans="2:10">
      <c r="B57" s="52" t="s">
        <v>3069</v>
      </c>
      <c r="C57" s="41" t="s">
        <v>3070</v>
      </c>
      <c r="D57" s="51"/>
    </row>
    <row r="58" spans="2:10">
      <c r="B58" s="52" t="s">
        <v>3016</v>
      </c>
      <c r="C58" s="41" t="s">
        <v>3017</v>
      </c>
      <c r="D58" s="51"/>
    </row>
    <row r="59" spans="2:10">
      <c r="B59" s="52" t="s">
        <v>3018</v>
      </c>
      <c r="C59" s="41" t="s">
        <v>3019</v>
      </c>
      <c r="D59" s="51"/>
    </row>
    <row r="60" spans="2:10">
      <c r="B60" s="52" t="s">
        <v>3020</v>
      </c>
      <c r="C60" s="41" t="s">
        <v>3021</v>
      </c>
      <c r="D60" s="51"/>
    </row>
    <row r="61" spans="2:10">
      <c r="B61" s="52" t="s">
        <v>3022</v>
      </c>
      <c r="C61" s="41" t="s">
        <v>3023</v>
      </c>
      <c r="D61" s="51"/>
    </row>
    <row r="62" spans="2:10">
      <c r="B62" s="52" t="s">
        <v>3071</v>
      </c>
      <c r="C62" s="41" t="s">
        <v>3072</v>
      </c>
      <c r="D62" s="51"/>
    </row>
    <row r="63" spans="2:10">
      <c r="I63" s="13" t="str">
        <f>IF(COUNTIF(D:D,"Reported")&gt;0,Show!$B$4&amp;Show!$B$4,"!!")&amp;"S.01.01.04.01 Rows {"&amp;COLUMN($C$1)&amp;"}"</f>
        <v>!!S.01.01.04.01 Rows {3}</v>
      </c>
      <c r="J63" s="13" t="str">
        <f>IF(COUNTIF(D:D,"Reported")&gt;0,Show!$B$4&amp;Show!$B$4,"!!")&amp;"S.01.01.04.01 Columns {"&amp;COLUMN($D$1)&amp;"}"</f>
        <v>!!S.01.01.04.01 Columns {4}</v>
      </c>
    </row>
  </sheetData>
  <sheetProtection sheet="1" objects="1" scenarios="1"/>
  <mergeCells count="3">
    <mergeCell ref="B2:O2"/>
    <mergeCell ref="B5:L5"/>
    <mergeCell ref="D9:D12"/>
  </mergeCells>
  <dataValidations count="35">
    <dataValidation type="list" errorStyle="warning" allowBlank="1" showInputMessage="1" showErrorMessage="1" sqref="D16" xr:uid="{8109F87D-D6E4-4720-9F93-A2907C15021A}">
      <formula1>hier_CN_2</formula1>
    </dataValidation>
    <dataValidation type="list" errorStyle="warning" allowBlank="1" showInputMessage="1" showErrorMessage="1" sqref="D17" xr:uid="{07631A7E-D70C-41B5-A246-E76EF5DA379B}">
      <formula1>hier_CN_17</formula1>
    </dataValidation>
    <dataValidation type="list" errorStyle="warning" allowBlank="1" showInputMessage="1" showErrorMessage="1" sqref="D18" xr:uid="{9EF37292-1F7F-4EDD-8F5F-A3A3C344A784}">
      <formula1>hier_CN_16</formula1>
    </dataValidation>
    <dataValidation type="list" errorStyle="warning" allowBlank="1" showInputMessage="1" showErrorMessage="1" sqref="D19" xr:uid="{419F86AB-AF3D-47B9-A96D-504EB6A017A5}">
      <formula1>hier_CN_19</formula1>
    </dataValidation>
    <dataValidation type="list" errorStyle="warning" allowBlank="1" showInputMessage="1" showErrorMessage="1" sqref="D20" xr:uid="{DBA74560-A6B0-4537-8BDC-377AE5981973}">
      <formula1>hier_CN_20</formula1>
    </dataValidation>
    <dataValidation type="list" errorStyle="warning" allowBlank="1" showInputMessage="1" showErrorMessage="1" sqref="D21" xr:uid="{154C3A55-8BBD-4C7C-8E12-6BFE00BC793B}">
      <formula1>hier_CN_34</formula1>
    </dataValidation>
    <dataValidation type="list" errorStyle="warning" allowBlank="1" showInputMessage="1" showErrorMessage="1" sqref="D22" xr:uid="{78DC87A0-8F57-475F-996E-A1FA8A915BB7}">
      <formula1>hier_CN_35</formula1>
    </dataValidation>
    <dataValidation type="list" errorStyle="warning" allowBlank="1" showInputMessage="1" showErrorMessage="1" sqref="D23 D37" xr:uid="{A34B79C7-1D9B-47FA-86A4-91A7FF1B7A4D}">
      <formula1>hier_CN_87</formula1>
    </dataValidation>
    <dataValidation type="list" errorStyle="warning" allowBlank="1" showInputMessage="1" showErrorMessage="1" sqref="D24" xr:uid="{A6FEFB46-7571-476F-A4DA-54711521FBF4}">
      <formula1>hier_CN_116</formula1>
    </dataValidation>
    <dataValidation type="list" errorStyle="warning" allowBlank="1" showInputMessage="1" showErrorMessage="1" sqref="D25" xr:uid="{8F90AF83-9596-48BF-89F1-F08BD9776A7B}">
      <formula1>hier_CN_27</formula1>
    </dataValidation>
    <dataValidation type="list" errorStyle="warning" allowBlank="1" showInputMessage="1" showErrorMessage="1" sqref="D26" xr:uid="{511A7104-F669-4D52-9379-4B2555926D7D}">
      <formula1>hier_CN_24</formula1>
    </dataValidation>
    <dataValidation type="list" errorStyle="warning" allowBlank="1" showInputMessage="1" showErrorMessage="1" sqref="D27" xr:uid="{D1093026-9538-460E-8235-93265B456590}">
      <formula1>hier_CN_118</formula1>
    </dataValidation>
    <dataValidation type="list" errorStyle="warning" allowBlank="1" showInputMessage="1" showErrorMessage="1" sqref="D28" xr:uid="{D7413F72-3073-4B03-9577-8CA2A4FCF99D}">
      <formula1>hier_CN_126</formula1>
    </dataValidation>
    <dataValidation type="list" errorStyle="warning" allowBlank="1" showInputMessage="1" showErrorMessage="1" sqref="D29 D30" xr:uid="{57973E8E-327A-4EB1-811F-6D439FDAF419}">
      <formula1>hier_CN_29</formula1>
    </dataValidation>
    <dataValidation type="list" errorStyle="warning" allowBlank="1" showInputMessage="1" showErrorMessage="1" sqref="D31 D40 D54 D55 D57" xr:uid="{154207CD-482E-48A4-BFBF-390B31AB3175}">
      <formula1>hier_CN_15</formula1>
    </dataValidation>
    <dataValidation type="list" errorStyle="warning" allowBlank="1" showInputMessage="1" showErrorMessage="1" sqref="D32" xr:uid="{FB1B0AF9-1F9B-49C1-9CA0-16C700CAADC5}">
      <formula1>hier_CN_89</formula1>
    </dataValidation>
    <dataValidation type="list" errorStyle="warning" allowBlank="1" showInputMessage="1" showErrorMessage="1" sqref="D33" xr:uid="{9537D774-9DF1-45B6-8397-240307AEDEDC}">
      <formula1>hier_CN_90</formula1>
    </dataValidation>
    <dataValidation type="list" errorStyle="warning" allowBlank="1" showInputMessage="1" showErrorMessage="1" sqref="D34 D35" xr:uid="{81985655-0B57-45D6-9A69-57DDBCB7D540}">
      <formula1>hier_CN_41</formula1>
    </dataValidation>
    <dataValidation type="list" errorStyle="warning" allowBlank="1" showInputMessage="1" showErrorMessage="1" sqref="D36" xr:uid="{381E9AA0-93AA-4D92-9FC1-4598D89A9AB3}">
      <formula1>hier_CN_43</formula1>
    </dataValidation>
    <dataValidation type="list" errorStyle="warning" allowBlank="1" showInputMessage="1" showErrorMessage="1" sqref="D38 D39" xr:uid="{9F0F0EAA-6D6B-40F7-A1D8-83752727E1E4}">
      <formula1>hier_CN_96</formula1>
    </dataValidation>
    <dataValidation type="list" errorStyle="warning" allowBlank="1" showInputMessage="1" showErrorMessage="1" sqref="D41" xr:uid="{011A8D1F-75B2-4E5B-9A84-E3FCBA352345}">
      <formula1>hier_CN_109</formula1>
    </dataValidation>
    <dataValidation type="list" errorStyle="warning" allowBlank="1" showInputMessage="1" showErrorMessage="1" sqref="D42" xr:uid="{A5E4F8DB-CD9C-40B3-9A6D-2B67F45D5CB5}">
      <formula1>hier_CN_49</formula1>
    </dataValidation>
    <dataValidation type="list" errorStyle="warning" allowBlank="1" showInputMessage="1" showErrorMessage="1" sqref="D43" xr:uid="{F7033FDB-2F33-4394-995B-7F92EF96A1D3}">
      <formula1>hier_CN_50</formula1>
    </dataValidation>
    <dataValidation type="list" errorStyle="warning" allowBlank="1" showInputMessage="1" showErrorMessage="1" sqref="D44 D45 D46 D47 D48" xr:uid="{9A7D9937-5624-4612-94C9-C43870605BD3}">
      <formula1>hier_CN_125</formula1>
    </dataValidation>
    <dataValidation type="list" errorStyle="warning" allowBlank="1" showInputMessage="1" showErrorMessage="1" sqref="D49" xr:uid="{A099C13E-1B30-409E-88B0-33DD9D9541A3}">
      <formula1>hier_CN_54</formula1>
    </dataValidation>
    <dataValidation type="list" errorStyle="warning" allowBlank="1" showInputMessage="1" showErrorMessage="1" sqref="D50" xr:uid="{F8AB05B8-808A-4AA2-8CD1-F688DAFBB2BB}">
      <formula1>hier_CN_56</formula1>
    </dataValidation>
    <dataValidation type="list" errorStyle="warning" allowBlank="1" showInputMessage="1" showErrorMessage="1" sqref="D51" xr:uid="{B807D8F8-64FF-49BC-A2D7-75B41B71B2CE}">
      <formula1>hier_CN_52</formula1>
    </dataValidation>
    <dataValidation type="list" errorStyle="warning" allowBlank="1" showInputMessage="1" showErrorMessage="1" sqref="D52" xr:uid="{EDF8744E-D3A1-49F2-8A73-4324C35319C0}">
      <formula1>hier_CN_58</formula1>
    </dataValidation>
    <dataValidation type="list" errorStyle="warning" allowBlank="1" showInputMessage="1" showErrorMessage="1" sqref="D53" xr:uid="{0ABC2653-281B-4178-B854-9219134E22B3}">
      <formula1>hier_CN_59</formula1>
    </dataValidation>
    <dataValidation type="list" errorStyle="warning" allowBlank="1" showInputMessage="1" showErrorMessage="1" sqref="D56" xr:uid="{474BE064-A995-45B0-B9CC-F30D5DF6ABB2}">
      <formula1>hier_CN_13</formula1>
    </dataValidation>
    <dataValidation type="list" errorStyle="warning" allowBlank="1" showInputMessage="1" showErrorMessage="1" sqref="D58" xr:uid="{2A5FE1BB-40DC-4E4B-B6D0-1CD9F1259F5F}">
      <formula1>hier_CN_61</formula1>
    </dataValidation>
    <dataValidation type="list" errorStyle="warning" allowBlank="1" showInputMessage="1" showErrorMessage="1" sqref="D59" xr:uid="{32EE7D1E-2681-4924-8CDA-D56CBD009158}">
      <formula1>hier_CN_63</formula1>
    </dataValidation>
    <dataValidation type="list" errorStyle="warning" allowBlank="1" showInputMessage="1" showErrorMessage="1" sqref="D60" xr:uid="{13F979E7-8DC0-47D2-9E9E-9BE29CDB7900}">
      <formula1>hier_CN_65</formula1>
    </dataValidation>
    <dataValidation type="list" errorStyle="warning" allowBlank="1" showInputMessage="1" showErrorMessage="1" sqref="D61" xr:uid="{4EC644EB-6630-45F5-B74B-C32A60EE8E8C}">
      <formula1>hier_CN_67</formula1>
    </dataValidation>
    <dataValidation type="list" errorStyle="warning" allowBlank="1" showInputMessage="1" showErrorMessage="1" sqref="D62" xr:uid="{879378D2-A245-4F40-B32C-1141CBBAD8AC}">
      <formula1>hier_CN_68</formula1>
    </dataValidation>
  </dataValidations>
  <hyperlinks>
    <hyperlink ref="B16" location="'S.01.02.04'!A1" display="S.01.02.04 - Basic Information - General" xr:uid="{08022553-AB41-42AE-8113-CBFA421C3BF3}"/>
    <hyperlink ref="B17" location="'S.01.03.04'!A1" display="S.01.03.04 - Basic Information - RFF and matching adjustment portfolios" xr:uid="{D8ACD241-B038-4D36-9E1A-798EFDAB03B9}"/>
    <hyperlink ref="B18" location="'S.02.01.01'!A1" display="S.02.01.01 - Balance sheet" xr:uid="{4C0260DB-06B9-4CA8-A2E0-2A5BCDEB108D}"/>
    <hyperlink ref="B19" location="'S.02.02.01'!A1" display="S.02.02.01 - Assets and liabilities by currency" xr:uid="{ACA2D5AC-43E3-4146-8184-C05CB7FA316A}"/>
    <hyperlink ref="B20" location="'S.03.01.04'!A1" display="S.03.01.04 - Off-balance sheet items - general" xr:uid="{4130BC2E-E7F1-4E89-AC9E-F78153B29177}"/>
    <hyperlink ref="B21" location="'S.03.02.04'!A1" display="S.03.02.04 - Off-balance sheet items - List of unlimited guarantees received by the group" xr:uid="{FCE99A0A-4453-4B35-B0D8-6FB0FE8E8151}"/>
    <hyperlink ref="B22" location="'S.03.03.04'!A1" display="S.03.03.04 - Off-balance sheet items - List of unlimited guarantees provided by the group" xr:uid="{6B7178A3-0337-47C2-A333-030794777CA1}"/>
    <hyperlink ref="B23" location="'S.05.01.01'!A1" display="S.05.01.01 - Premiums, claims and expenses by line of business" xr:uid="{7CE4E409-DB82-46AD-A2C8-13404C1F6DED}"/>
    <hyperlink ref="B24" location="'S.05.02.01'!A1" display="S.05.02.01 - Premiums, claims and expenses by country" xr:uid="{87C9D4D0-2BDA-4AFF-9245-4200AAE3BE5F}"/>
    <hyperlink ref="B25" location="'S.06.01.01'!A1" display="S.06.01.01 - Summary of assets" xr:uid="{616DBB09-19F8-4E0F-ADC9-15A2A7E0C8CD}"/>
    <hyperlink ref="B26" location="'S.06.02.04'!A1" display="S.06.02.04 - List of assets" xr:uid="{252ADEB4-A4AB-4714-9285-AC52C0409C5B}"/>
    <hyperlink ref="B27" location="'S.06.03.04'!A1" display="S.06.03.04 - Collective investment undertakings - look-through approach" xr:uid="{AE62A36C-D2F9-4613-B745-65CBAB3647D8}"/>
    <hyperlink ref="B28" location="'S.07.01.04'!A1" display="S.07.01.04 - Structured products" xr:uid="{CAA3D246-F95F-4DF2-83DA-4B92CDFA79F0}"/>
    <hyperlink ref="B29" location="'S.08.01.04'!A1" display="S.08.01.04 - Open derivatives" xr:uid="{E610DC7B-0B84-4E04-AA27-A7408E74019E}"/>
    <hyperlink ref="B30" location="'S.08.02.04'!A1" display="S.08.02.04 - Derivatives Transactions" xr:uid="{AF5E57E1-236C-434A-9D18-E2E972176621}"/>
    <hyperlink ref="B31" location="'S.09.01.04'!A1" display="S.09.01.04 - Income/gains and losses in the period" xr:uid="{3E78E21B-73A0-42F7-A7D1-EFFFE048385F}"/>
    <hyperlink ref="B32" location="'S.10.01.04'!A1" display="S.10.01.04 - Securities lending and repos" xr:uid="{80E29572-7C61-4316-A5AA-F430810CDC29}"/>
    <hyperlink ref="B33" location="'S.11.01.04'!A1" display="S.11.01.04 - Assets held as collateral" xr:uid="{14F4C41D-F76D-408D-A518-06A940672556}"/>
    <hyperlink ref="B34" location="'S.15.01.04'!A1" display="S.15.01.04 - Description of the guarantees of variable annuities" xr:uid="{B421DD1E-7E56-4611-84EE-06B534B0B0A9}"/>
    <hyperlink ref="B35" location="'S.15.02.04'!A1" display="S.15.02.04 - Hedging of guarantees of variable annuities" xr:uid="{E7010075-BE06-4D63-BCF7-C41B51D12D1E}"/>
    <hyperlink ref="B36" location="'S.22.01.04'!A1" display="S.22.01.04 - Impact of long term guarantees measures and transitionals" xr:uid="{1952C7EF-2659-463B-9BFC-1AF470DEF126}"/>
    <hyperlink ref="B37" location="'S.23.01.04'!A1" display="S.23.01.04 - Own funds" xr:uid="{8E8D0A1D-F7A1-40FD-B1BD-AA03F07C9881}"/>
    <hyperlink ref="B38" location="'S.23.02.04'!A1" display="S.23.02.04 - Detailed information by tiers on own funds" xr:uid="{91F78086-AA8D-4329-AF9F-16157DA8EC80}"/>
    <hyperlink ref="B39" location="'S.23.03.04'!A1" display="S.23.03.04 - Annual movements on own funds" xr:uid="{6DD75864-23D6-4093-AECA-7F60006D86CC}"/>
    <hyperlink ref="B40" location="'S.23.04.04'!A1" display="S.23.04.04 - List of items on own funds" xr:uid="{AC24935F-A905-4D71-AF1D-EE92159BBC77}"/>
    <hyperlink ref="B41" location="'S.25.01.04'!A1" display="S.25.01.04 - Solvency Capital Requirement - for groups on Standard Formula" xr:uid="{63454AB2-3DE6-4963-87CF-50A2C153783B}"/>
    <hyperlink ref="B42" location="'S.25.02.04'!A1" display="S.25.02.04 - Solvency Capital Requirement - for groups using the standard formula and partial internal model" xr:uid="{5A91DD80-4502-459B-8F3E-56955AF62405}"/>
    <hyperlink ref="B43" location="'S.25.03.04'!A1" display="S.25.03.04 - Solvency Capital Requirement - for groups on Full Internal Models" xr:uid="{1E41AE6D-5DDA-4D39-80BC-D541AC633FB1}"/>
    <hyperlink ref="B44" location="'S.26.01.04'!A1" display="S.26.01.04 - Solvency Capital Requirement - Market risk" xr:uid="{2B12EBC1-26B0-4C1D-8700-F3A48615529B}"/>
    <hyperlink ref="B45" location="'S.26.02.04'!A1" display="S.26.02.04 - Solvency Capital Requirement - Counterparty default risk" xr:uid="{1D548705-E3A8-4213-834E-52F1F42C05CA}"/>
    <hyperlink ref="B46" location="'S.26.03.04'!A1" display="S.26.03.04 - Solvency Capital Requirement - Life underwriting risk" xr:uid="{488E57C0-4658-4A00-8EE7-A381CCCD0C83}"/>
    <hyperlink ref="B47" location="'S.26.04.04'!A1" display="S.26.04.04 - Solvency Capital Requirement - Health underwriting risk" xr:uid="{A28F5982-D764-499C-ACDE-ECE5772B2FA2}"/>
    <hyperlink ref="B48" location="'S.26.05.04'!A1" display="S.26.05.04 - Solvency Capital Requirement - Non-Life underwriting risk" xr:uid="{6860F7F4-4CC0-4F80-8DA2-14AE99E8BD46}"/>
    <hyperlink ref="B49" location="'S.26.06.04'!A1" display="S.26.06.04 - Solvency Capital Requirement - Operational risk" xr:uid="{1EF5B28C-F1DA-45B6-A5B5-B43E4AA491D1}"/>
    <hyperlink ref="B50" location="'S.26.07.04'!A1" display="S.26.07.04 - Solvency Capital Requirement - Simplifications" xr:uid="{A1A9A1A4-34D6-4CDD-8E43-38BD2DB313C1}"/>
    <hyperlink ref="B51" location="'S.27.01.04'!A1" display="S.27.01.04 - Solvency Capital Requirement - Non-Life and Health catastrophe risk" xr:uid="{2810EF01-B21F-4D86-8287-E4F9C45943A2}"/>
    <hyperlink ref="B52" location="'S.31.01.04'!A1" display="S.31.01.04 - Share of reinsurers (including Finite Reinsurance and SPV's)" xr:uid="{6C12E1E7-B4D4-4450-B9C4-F7DE157B428D}"/>
    <hyperlink ref="B53" location="'S.31.02.04'!A1" display="S.31.02.04 - Special Purpose Vehicles" xr:uid="{0010CEDA-9194-4531-AEA3-0B727A22AAF6}"/>
    <hyperlink ref="B54" location="'S.32.01.04'!A1" display="S.32.01.04 - Undertakings in the scope of the group" xr:uid="{FF734EF2-DBB9-418E-BF15-EE9B9839605D}"/>
    <hyperlink ref="B55" location="'S.33.01.04'!A1" display="S.33.01.04 - Insurance and Reinsurance individual requirements" xr:uid="{C0367495-6B30-4D14-BB5E-2D0C79065822}"/>
    <hyperlink ref="B56" location="'S.34.01.04'!A1" display="S.34.01.04 - Other regulated and non-regulated financial undertakings including insurance holding companies and mixed financial holding company individual requirements" xr:uid="{EAB3F1C6-564F-43DB-AAEB-744A00CB1704}"/>
    <hyperlink ref="B57" location="'S.35.01.04'!A1" display="S.35.01.04 - Contribution to group Technical Provisions" xr:uid="{92406CB4-2DA3-4D5E-A1EB-F2397EC15E35}"/>
    <hyperlink ref="B58" location="'S.36.01.01'!A1" display="S.36.01.01 - IGT - Equity-type transactions, debt and asset transfer" xr:uid="{5DED8901-8B02-4DB7-9C97-2D2C2FB48D5C}"/>
    <hyperlink ref="B59" location="'S.36.02.01'!A1" display="S.36.02.01 - IGT - Derivatives" xr:uid="{623F09FA-88F3-4962-A896-0E6FE1CC107C}"/>
    <hyperlink ref="B60" location="'S.36.03.01'!A1" display="S.36.03.01 - IGT - Internal reinsurance" xr:uid="{DB9E05B2-4F1F-4163-9293-598AAAF8EF57}"/>
    <hyperlink ref="B61" location="'S.36.04.01'!A1" display="S.36.04.01 - IGT - Cost Sharing, contingent liabilities, off BS and other items" xr:uid="{971D5E8C-836A-41AE-8A7F-170C2B57CCF6}"/>
    <hyperlink ref="B62" location="'S.37.01.04'!A1" display="S.37.01.04 - Risk concentration" xr:uid="{CA329A02-2E79-48AF-9BD0-8A97F185F8DD}"/>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B666B-7770-46DE-9636-CA1FE8E940E2}">
  <sheetPr codeName="Blad80"/>
  <dimension ref="B2:O15"/>
  <sheetViews>
    <sheetView showGridLines="0" workbookViewId="0"/>
  </sheetViews>
  <sheetFormatPr defaultRowHeight="15"/>
  <cols>
    <col min="2" max="2" width="9.42578125" bestFit="1" customWidth="1"/>
    <col min="3" max="4" width="15.7109375" customWidth="1"/>
  </cols>
  <sheetData>
    <row r="2" spans="2:15" ht="23.25">
      <c r="B2" s="86" t="s">
        <v>623</v>
      </c>
      <c r="C2" s="87"/>
      <c r="D2" s="87"/>
      <c r="E2" s="87"/>
      <c r="F2" s="87"/>
      <c r="G2" s="87"/>
      <c r="H2" s="87"/>
      <c r="I2" s="87"/>
      <c r="J2" s="87"/>
      <c r="K2" s="87"/>
      <c r="L2" s="87"/>
      <c r="M2" s="87"/>
      <c r="N2" s="87"/>
      <c r="O2" s="87"/>
    </row>
    <row r="5" spans="2:15" ht="18.75">
      <c r="B5" s="88" t="s">
        <v>3845</v>
      </c>
      <c r="C5" s="87"/>
      <c r="D5" s="87"/>
      <c r="E5" s="87"/>
      <c r="F5" s="87"/>
      <c r="G5" s="87"/>
      <c r="H5" s="87"/>
      <c r="I5" s="87"/>
      <c r="J5" s="87"/>
      <c r="K5" s="87"/>
      <c r="L5" s="87"/>
    </row>
    <row r="9" spans="2:15">
      <c r="B9" s="89" t="s">
        <v>3839</v>
      </c>
      <c r="C9" s="92" t="s">
        <v>2877</v>
      </c>
      <c r="D9" s="94"/>
    </row>
    <row r="10" spans="2:15">
      <c r="B10" s="90"/>
      <c r="C10" s="95"/>
      <c r="D10" s="97"/>
    </row>
    <row r="11" spans="2:15" ht="75">
      <c r="B11" s="91"/>
      <c r="C11" s="55" t="s">
        <v>3840</v>
      </c>
      <c r="D11" s="55" t="s">
        <v>3842</v>
      </c>
    </row>
    <row r="12" spans="2:15">
      <c r="B12" s="42" t="s">
        <v>3594</v>
      </c>
      <c r="C12" s="42" t="s">
        <v>3596</v>
      </c>
      <c r="D12" s="42" t="s">
        <v>3515</v>
      </c>
      <c r="L12" s="13" t="str">
        <f>Show!$B$76&amp;"S.14.01.10.01 Rows {"&amp;COLUMN($B$1)&amp;"}"&amp;"@ForceFilingCode:true"</f>
        <v>!S.14.01.10.01 Rows {2}@ForceFilingCode:true</v>
      </c>
      <c r="M12" s="13" t="str">
        <f>Show!$B$76&amp;"S.14.01.10.01 Columns {"&amp;COLUMN($B$1)&amp;"}"</f>
        <v>!S.14.01.10.01 Columns {2}</v>
      </c>
    </row>
    <row r="13" spans="2:15">
      <c r="B13" s="50"/>
      <c r="C13" s="60"/>
      <c r="D13" s="70"/>
    </row>
    <row r="15" spans="2:15">
      <c r="L15" s="13" t="str">
        <f>Show!$B$76&amp;Show!$B$76&amp;"S.14.01.10.01 Rows {"&amp;COLUMN($B$1)&amp;"}"</f>
        <v>!!S.14.01.10.01 Rows {2}</v>
      </c>
      <c r="M15" s="13" t="str">
        <f>Show!$B$76&amp;Show!$B$76&amp;"S.14.01.10.01 Columns {"&amp;COLUMN($D$1)&amp;"}"</f>
        <v>!!S.14.01.10.01 Columns {4}</v>
      </c>
    </row>
  </sheetData>
  <sheetProtection sheet="1" objects="1" scenarios="1"/>
  <mergeCells count="4">
    <mergeCell ref="B2:O2"/>
    <mergeCell ref="B5:L5"/>
    <mergeCell ref="B9:B11"/>
    <mergeCell ref="C9:D10"/>
  </mergeCell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95C28-ECCD-4428-9A82-0618DC1A9448}">
  <sheetPr codeName="Blad81"/>
  <dimension ref="B2:R15"/>
  <sheetViews>
    <sheetView showGridLines="0" workbookViewId="0"/>
  </sheetViews>
  <sheetFormatPr defaultRowHeight="15"/>
  <cols>
    <col min="2" max="2" width="15" bestFit="1" customWidth="1"/>
    <col min="3" max="4" width="40.7109375" customWidth="1"/>
    <col min="5" max="6" width="15.7109375" customWidth="1"/>
    <col min="7" max="7" width="40.7109375" customWidth="1"/>
    <col min="8" max="8" width="15.7109375" customWidth="1"/>
    <col min="9" max="9" width="40.7109375" customWidth="1"/>
  </cols>
  <sheetData>
    <row r="2" spans="2:18" ht="23.25">
      <c r="B2" s="86" t="s">
        <v>626</v>
      </c>
      <c r="C2" s="87"/>
      <c r="D2" s="87"/>
      <c r="E2" s="87"/>
      <c r="F2" s="87"/>
      <c r="G2" s="87"/>
      <c r="H2" s="87"/>
      <c r="I2" s="87"/>
      <c r="J2" s="87"/>
      <c r="K2" s="87"/>
      <c r="L2" s="87"/>
      <c r="M2" s="87"/>
      <c r="N2" s="87"/>
      <c r="O2" s="87"/>
    </row>
    <row r="5" spans="2:18" ht="18.75">
      <c r="B5" s="88" t="s">
        <v>3846</v>
      </c>
      <c r="C5" s="87"/>
      <c r="D5" s="87"/>
      <c r="E5" s="87"/>
      <c r="F5" s="87"/>
      <c r="G5" s="87"/>
      <c r="H5" s="87"/>
      <c r="I5" s="87"/>
      <c r="J5" s="87"/>
      <c r="K5" s="87"/>
      <c r="L5" s="87"/>
    </row>
    <row r="9" spans="2:18">
      <c r="B9" s="89" t="s">
        <v>3824</v>
      </c>
      <c r="C9" s="92" t="s">
        <v>2877</v>
      </c>
      <c r="D9" s="93"/>
      <c r="E9" s="93"/>
      <c r="F9" s="93"/>
      <c r="G9" s="93"/>
      <c r="H9" s="93"/>
      <c r="I9" s="94"/>
    </row>
    <row r="10" spans="2:18">
      <c r="B10" s="90"/>
      <c r="C10" s="95"/>
      <c r="D10" s="96"/>
      <c r="E10" s="96"/>
      <c r="F10" s="96"/>
      <c r="G10" s="96"/>
      <c r="H10" s="96"/>
      <c r="I10" s="97"/>
    </row>
    <row r="11" spans="2:18" ht="30">
      <c r="B11" s="91"/>
      <c r="C11" s="55" t="s">
        <v>3847</v>
      </c>
      <c r="D11" s="55" t="s">
        <v>3848</v>
      </c>
      <c r="E11" s="55" t="s">
        <v>3849</v>
      </c>
      <c r="F11" s="55" t="s">
        <v>3850</v>
      </c>
      <c r="G11" s="55" t="s">
        <v>3851</v>
      </c>
      <c r="H11" s="55" t="s">
        <v>3852</v>
      </c>
      <c r="I11" s="55" t="s">
        <v>3853</v>
      </c>
    </row>
    <row r="12" spans="2:18">
      <c r="B12" s="42" t="s">
        <v>3223</v>
      </c>
      <c r="C12" s="42" t="s">
        <v>3229</v>
      </c>
      <c r="D12" s="42" t="s">
        <v>3231</v>
      </c>
      <c r="E12" s="42" t="s">
        <v>3233</v>
      </c>
      <c r="F12" s="42" t="s">
        <v>3234</v>
      </c>
      <c r="G12" s="42" t="s">
        <v>3236</v>
      </c>
      <c r="H12" s="42" t="s">
        <v>3239</v>
      </c>
      <c r="I12" s="42" t="s">
        <v>3241</v>
      </c>
      <c r="Q12" s="13" t="str">
        <f>Show!$B$77&amp;"S.15.01.01.01 Rows {"&amp;COLUMN($B$1)&amp;"}"&amp;"@ForceFilingCode:true"</f>
        <v>!S.15.01.01.01 Rows {2}@ForceFilingCode:true</v>
      </c>
      <c r="R12" s="13" t="str">
        <f>Show!$B$77&amp;"S.15.01.01.01 Columns {"&amp;COLUMN($B$1)&amp;"}"</f>
        <v>!S.15.01.01.01 Columns {2}</v>
      </c>
    </row>
    <row r="13" spans="2:18">
      <c r="B13" s="50"/>
      <c r="C13" s="51"/>
      <c r="D13" s="51"/>
      <c r="E13" s="54"/>
      <c r="F13" s="54"/>
      <c r="G13" s="51"/>
      <c r="H13" s="70"/>
      <c r="I13" s="51"/>
    </row>
    <row r="15" spans="2:18">
      <c r="Q15" s="13" t="str">
        <f>Show!$B$77&amp;Show!$B$77&amp;"S.15.01.01.01 Rows {"&amp;COLUMN($B$1)&amp;"}"</f>
        <v>!!S.15.01.01.01 Rows {2}</v>
      </c>
      <c r="R15" s="13" t="str">
        <f>Show!$B$77&amp;Show!$B$77&amp;"S.15.01.01.01 Columns {"&amp;COLUMN($I$1)&amp;"}"</f>
        <v>!!S.15.01.01.01 Columns {9}</v>
      </c>
    </row>
  </sheetData>
  <sheetProtection sheet="1" objects="1" scenarios="1"/>
  <mergeCells count="4">
    <mergeCell ref="B2:O2"/>
    <mergeCell ref="B5:L5"/>
    <mergeCell ref="B9:B11"/>
    <mergeCell ref="C9:I10"/>
  </mergeCells>
  <dataValidations count="2">
    <dataValidation type="date" operator="greaterThan" allowBlank="1" showInputMessage="1" showErrorMessage="1" errorTitle="Date value" error="This cell can only contain dates" sqref="E13:F13" xr:uid="{FFCC61BF-F5E1-43C7-AB66-12D1AE4CB329}">
      <formula1>1</formula1>
    </dataValidation>
    <dataValidation type="list" errorStyle="warning" allowBlank="1" showInputMessage="1" showErrorMessage="1" sqref="G13" xr:uid="{20AD5530-6C09-4288-B967-5457A6E39A79}">
      <formula1>hier_CG_9</formula1>
    </dataValidation>
  </dataValidation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DB382-3044-4F4A-A4E1-599F741E3149}">
  <sheetPr codeName="Blad82"/>
  <dimension ref="B2:U15"/>
  <sheetViews>
    <sheetView showGridLines="0" workbookViewId="0"/>
  </sheetViews>
  <sheetFormatPr defaultRowHeight="15"/>
  <cols>
    <col min="2" max="2" width="15" bestFit="1" customWidth="1"/>
    <col min="3" max="3" width="15.7109375" customWidth="1"/>
    <col min="4" max="6" width="40.7109375" customWidth="1"/>
    <col min="7" max="8" width="15.7109375" customWidth="1"/>
    <col min="9" max="9" width="40.7109375" customWidth="1"/>
    <col min="10" max="10" width="15.7109375" customWidth="1"/>
    <col min="11" max="11" width="40.7109375" customWidth="1"/>
  </cols>
  <sheetData>
    <row r="2" spans="2:21" ht="23.25">
      <c r="B2" s="86" t="s">
        <v>626</v>
      </c>
      <c r="C2" s="87"/>
      <c r="D2" s="87"/>
      <c r="E2" s="87"/>
      <c r="F2" s="87"/>
      <c r="G2" s="87"/>
      <c r="H2" s="87"/>
      <c r="I2" s="87"/>
      <c r="J2" s="87"/>
      <c r="K2" s="87"/>
      <c r="L2" s="87"/>
      <c r="M2" s="87"/>
      <c r="N2" s="87"/>
      <c r="O2" s="87"/>
    </row>
    <row r="5" spans="2:21" ht="18.75">
      <c r="B5" s="88" t="s">
        <v>3854</v>
      </c>
      <c r="C5" s="87"/>
      <c r="D5" s="87"/>
      <c r="E5" s="87"/>
      <c r="F5" s="87"/>
      <c r="G5" s="87"/>
      <c r="H5" s="87"/>
      <c r="I5" s="87"/>
      <c r="J5" s="87"/>
      <c r="K5" s="87"/>
      <c r="L5" s="87"/>
    </row>
    <row r="9" spans="2:21">
      <c r="B9" s="89" t="s">
        <v>3824</v>
      </c>
      <c r="C9" s="89" t="s">
        <v>3245</v>
      </c>
      <c r="D9" s="92" t="s">
        <v>2877</v>
      </c>
      <c r="E9" s="93"/>
      <c r="F9" s="93"/>
      <c r="G9" s="93"/>
      <c r="H9" s="93"/>
      <c r="I9" s="93"/>
      <c r="J9" s="93"/>
      <c r="K9" s="94"/>
    </row>
    <row r="10" spans="2:21">
      <c r="B10" s="90"/>
      <c r="C10" s="90"/>
      <c r="D10" s="95"/>
      <c r="E10" s="96"/>
      <c r="F10" s="96"/>
      <c r="G10" s="96"/>
      <c r="H10" s="96"/>
      <c r="I10" s="96"/>
      <c r="J10" s="96"/>
      <c r="K10" s="97"/>
    </row>
    <row r="11" spans="2:21" ht="30">
      <c r="B11" s="91"/>
      <c r="C11" s="91"/>
      <c r="D11" s="55" t="s">
        <v>3246</v>
      </c>
      <c r="E11" s="55" t="s">
        <v>3847</v>
      </c>
      <c r="F11" s="55" t="s">
        <v>3848</v>
      </c>
      <c r="G11" s="55" t="s">
        <v>3849</v>
      </c>
      <c r="H11" s="55" t="s">
        <v>3850</v>
      </c>
      <c r="I11" s="55" t="s">
        <v>3851</v>
      </c>
      <c r="J11" s="55" t="s">
        <v>3852</v>
      </c>
      <c r="K11" s="55" t="s">
        <v>3853</v>
      </c>
    </row>
    <row r="12" spans="2:21">
      <c r="B12" s="42" t="s">
        <v>3223</v>
      </c>
      <c r="C12" s="42" t="s">
        <v>3219</v>
      </c>
      <c r="D12" s="42" t="s">
        <v>2879</v>
      </c>
      <c r="E12" s="42" t="s">
        <v>3229</v>
      </c>
      <c r="F12" s="42" t="s">
        <v>3231</v>
      </c>
      <c r="G12" s="42" t="s">
        <v>3233</v>
      </c>
      <c r="H12" s="42" t="s">
        <v>3234</v>
      </c>
      <c r="I12" s="42" t="s">
        <v>3236</v>
      </c>
      <c r="J12" s="42" t="s">
        <v>3239</v>
      </c>
      <c r="K12" s="42" t="s">
        <v>3241</v>
      </c>
      <c r="T12" s="13" t="str">
        <f>Show!$B$78&amp;"S.15.01.04.01 Rows {"&amp;COLUMN($B$1)&amp;"}"&amp;"@ForceFilingCode:true"</f>
        <v>!S.15.01.04.01 Rows {2}@ForceFilingCode:true</v>
      </c>
      <c r="U12" s="13" t="str">
        <f>Show!$B$78&amp;"S.15.01.04.01 Columns {"&amp;COLUMN($B$1)&amp;"}"</f>
        <v>!S.15.01.04.01 Columns {2}</v>
      </c>
    </row>
    <row r="13" spans="2:21">
      <c r="B13" s="50"/>
      <c r="C13" s="50"/>
      <c r="D13" s="51"/>
      <c r="E13" s="51"/>
      <c r="F13" s="51"/>
      <c r="G13" s="54"/>
      <c r="H13" s="54"/>
      <c r="I13" s="51"/>
      <c r="J13" s="70"/>
      <c r="K13" s="51"/>
    </row>
    <row r="15" spans="2:21">
      <c r="T15" s="13" t="str">
        <f>Show!$B$78&amp;Show!$B$78&amp;"S.15.01.04.01 Rows {"&amp;COLUMN($B$1)&amp;"}"</f>
        <v>!!S.15.01.04.01 Rows {2}</v>
      </c>
      <c r="U15" s="13" t="str">
        <f>Show!$B$78&amp;Show!$B$78&amp;"S.15.01.04.01 Columns {"&amp;COLUMN($K$1)&amp;"}"</f>
        <v>!!S.15.01.04.01 Columns {11}</v>
      </c>
    </row>
  </sheetData>
  <sheetProtection sheet="1" objects="1" scenarios="1"/>
  <mergeCells count="5">
    <mergeCell ref="B2:O2"/>
    <mergeCell ref="B5:L5"/>
    <mergeCell ref="B9:B11"/>
    <mergeCell ref="C9:C11"/>
    <mergeCell ref="D9:K10"/>
  </mergeCells>
  <dataValidations count="2">
    <dataValidation type="date" operator="greaterThan" allowBlank="1" showInputMessage="1" showErrorMessage="1" errorTitle="Date value" error="This cell can only contain dates" sqref="G13:H13" xr:uid="{AEE746BD-D888-4DB5-B957-879DE959B5D4}">
      <formula1>1</formula1>
    </dataValidation>
    <dataValidation type="list" errorStyle="warning" allowBlank="1" showInputMessage="1" showErrorMessage="1" sqref="I13" xr:uid="{38A95999-EF4B-4BAB-8072-B7AD0B0B723D}">
      <formula1>hier_CG_9</formula1>
    </dataValidation>
  </dataValidation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FF002-8FCE-4ED5-8CB9-6984CECFE3EB}">
  <sheetPr codeName="Blad83"/>
  <dimension ref="B2:U15"/>
  <sheetViews>
    <sheetView showGridLines="0" workbookViewId="0"/>
  </sheetViews>
  <sheetFormatPr defaultRowHeight="15"/>
  <cols>
    <col min="2" max="2" width="15" bestFit="1" customWidth="1"/>
    <col min="3" max="10" width="40.7109375" customWidth="1"/>
    <col min="11" max="12" width="15.7109375" customWidth="1"/>
  </cols>
  <sheetData>
    <row r="2" spans="2:21" ht="23.25">
      <c r="B2" s="86" t="s">
        <v>629</v>
      </c>
      <c r="C2" s="87"/>
      <c r="D2" s="87"/>
      <c r="E2" s="87"/>
      <c r="F2" s="87"/>
      <c r="G2" s="87"/>
      <c r="H2" s="87"/>
      <c r="I2" s="87"/>
      <c r="J2" s="87"/>
      <c r="K2" s="87"/>
      <c r="L2" s="87"/>
      <c r="M2" s="87"/>
      <c r="N2" s="87"/>
      <c r="O2" s="87"/>
    </row>
    <row r="5" spans="2:21" ht="18.75">
      <c r="B5" s="88" t="s">
        <v>3855</v>
      </c>
      <c r="C5" s="87"/>
      <c r="D5" s="87"/>
      <c r="E5" s="87"/>
      <c r="F5" s="87"/>
      <c r="G5" s="87"/>
      <c r="H5" s="87"/>
      <c r="I5" s="87"/>
      <c r="J5" s="87"/>
      <c r="K5" s="87"/>
      <c r="L5" s="87"/>
    </row>
    <row r="9" spans="2:21">
      <c r="B9" s="89" t="s">
        <v>3824</v>
      </c>
      <c r="C9" s="92" t="s">
        <v>2877</v>
      </c>
      <c r="D9" s="93"/>
      <c r="E9" s="93"/>
      <c r="F9" s="93"/>
      <c r="G9" s="93"/>
      <c r="H9" s="93"/>
      <c r="I9" s="93"/>
      <c r="J9" s="93"/>
      <c r="K9" s="93"/>
      <c r="L9" s="94"/>
    </row>
    <row r="10" spans="2:21">
      <c r="B10" s="90"/>
      <c r="C10" s="95"/>
      <c r="D10" s="96"/>
      <c r="E10" s="96"/>
      <c r="F10" s="96"/>
      <c r="G10" s="96"/>
      <c r="H10" s="96"/>
      <c r="I10" s="96"/>
      <c r="J10" s="96"/>
      <c r="K10" s="96"/>
      <c r="L10" s="97"/>
    </row>
    <row r="11" spans="2:21" ht="30">
      <c r="B11" s="91"/>
      <c r="C11" s="55" t="s">
        <v>3847</v>
      </c>
      <c r="D11" s="55" t="s">
        <v>3856</v>
      </c>
      <c r="E11" s="55" t="s">
        <v>3857</v>
      </c>
      <c r="F11" s="55" t="s">
        <v>3858</v>
      </c>
      <c r="G11" s="55" t="s">
        <v>3859</v>
      </c>
      <c r="H11" s="55" t="s">
        <v>3860</v>
      </c>
      <c r="I11" s="55" t="s">
        <v>3861</v>
      </c>
      <c r="J11" s="55" t="s">
        <v>3862</v>
      </c>
      <c r="K11" s="55" t="s">
        <v>3863</v>
      </c>
      <c r="L11" s="55" t="s">
        <v>3864</v>
      </c>
    </row>
    <row r="12" spans="2:21">
      <c r="B12" s="42" t="s">
        <v>3223</v>
      </c>
      <c r="C12" s="42" t="s">
        <v>3229</v>
      </c>
      <c r="D12" s="42" t="s">
        <v>3231</v>
      </c>
      <c r="E12" s="42" t="s">
        <v>3233</v>
      </c>
      <c r="F12" s="42" t="s">
        <v>3234</v>
      </c>
      <c r="G12" s="42" t="s">
        <v>3236</v>
      </c>
      <c r="H12" s="42" t="s">
        <v>3239</v>
      </c>
      <c r="I12" s="42" t="s">
        <v>3241</v>
      </c>
      <c r="J12" s="42" t="s">
        <v>3243</v>
      </c>
      <c r="K12" s="42" t="s">
        <v>3375</v>
      </c>
      <c r="L12" s="42" t="s">
        <v>3475</v>
      </c>
      <c r="T12" s="13" t="str">
        <f>Show!$B$79&amp;"S.15.02.01.01 Rows {"&amp;COLUMN($B$1)&amp;"}"&amp;"@ForceFilingCode:true"</f>
        <v>!S.15.02.01.01 Rows {2}@ForceFilingCode:true</v>
      </c>
      <c r="U12" s="13" t="str">
        <f>Show!$B$79&amp;"S.15.02.01.01 Columns {"&amp;COLUMN($B$1)&amp;"}"</f>
        <v>!S.15.02.01.01 Columns {2}</v>
      </c>
    </row>
    <row r="13" spans="2:21">
      <c r="B13" s="50"/>
      <c r="C13" s="51"/>
      <c r="D13" s="51"/>
      <c r="E13" s="51"/>
      <c r="F13" s="51"/>
      <c r="G13" s="51"/>
      <c r="H13" s="51"/>
      <c r="I13" s="51"/>
      <c r="J13" s="51"/>
      <c r="K13" s="60"/>
      <c r="L13" s="60"/>
    </row>
    <row r="15" spans="2:21">
      <c r="T15" s="13" t="str">
        <f>Show!$B$79&amp;Show!$B$79&amp;"S.15.02.01.01 Rows {"&amp;COLUMN($B$1)&amp;"}"</f>
        <v>!!S.15.02.01.01 Rows {2}</v>
      </c>
      <c r="U15" s="13" t="str">
        <f>Show!$B$79&amp;Show!$B$79&amp;"S.15.02.01.01 Columns {"&amp;COLUMN($L$1)&amp;"}"</f>
        <v>!!S.15.02.01.01 Columns {12}</v>
      </c>
    </row>
  </sheetData>
  <sheetProtection sheet="1" objects="1" scenarios="1"/>
  <mergeCells count="4">
    <mergeCell ref="B2:O2"/>
    <mergeCell ref="B5:L5"/>
    <mergeCell ref="B9:B11"/>
    <mergeCell ref="C9:L10"/>
  </mergeCells>
  <dataValidations count="2">
    <dataValidation type="list" errorStyle="warning" allowBlank="1" showInputMessage="1" showErrorMessage="1" sqref="D13" xr:uid="{D3D1F80E-FE41-46DF-A0EA-739F381D924A}">
      <formula1>hier_TB_2</formula1>
    </dataValidation>
    <dataValidation type="list" errorStyle="warning" allowBlank="1" showInputMessage="1" showErrorMessage="1" sqref="E13 F13 G13 H13 I13" xr:uid="{87F02BE4-5BA2-45B8-A6DA-C6A18B28DB1D}">
      <formula1>hier_CG_7</formula1>
    </dataValidation>
  </dataValidation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A287B-5DA9-4C42-9E2B-D5D770054404}">
  <sheetPr codeName="Blad84"/>
  <dimension ref="B2:X15"/>
  <sheetViews>
    <sheetView showGridLines="0" workbookViewId="0"/>
  </sheetViews>
  <sheetFormatPr defaultRowHeight="15"/>
  <cols>
    <col min="2" max="2" width="15" bestFit="1" customWidth="1"/>
    <col min="3" max="3" width="15.7109375" customWidth="1"/>
    <col min="4" max="12" width="40.7109375" customWidth="1"/>
    <col min="13" max="14" width="15.7109375" customWidth="1"/>
  </cols>
  <sheetData>
    <row r="2" spans="2:24" ht="23.25">
      <c r="B2" s="86" t="s">
        <v>629</v>
      </c>
      <c r="C2" s="87"/>
      <c r="D2" s="87"/>
      <c r="E2" s="87"/>
      <c r="F2" s="87"/>
      <c r="G2" s="87"/>
      <c r="H2" s="87"/>
      <c r="I2" s="87"/>
      <c r="J2" s="87"/>
      <c r="K2" s="87"/>
      <c r="L2" s="87"/>
      <c r="M2" s="87"/>
      <c r="N2" s="87"/>
      <c r="O2" s="87"/>
    </row>
    <row r="5" spans="2:24" ht="18.75">
      <c r="B5" s="88" t="s">
        <v>3865</v>
      </c>
      <c r="C5" s="87"/>
      <c r="D5" s="87"/>
      <c r="E5" s="87"/>
      <c r="F5" s="87"/>
      <c r="G5" s="87"/>
      <c r="H5" s="87"/>
      <c r="I5" s="87"/>
      <c r="J5" s="87"/>
      <c r="K5" s="87"/>
      <c r="L5" s="87"/>
    </row>
    <row r="9" spans="2:24">
      <c r="B9" s="89" t="s">
        <v>3824</v>
      </c>
      <c r="C9" s="89" t="s">
        <v>3245</v>
      </c>
      <c r="D9" s="92" t="s">
        <v>2877</v>
      </c>
      <c r="E9" s="93"/>
      <c r="F9" s="93"/>
      <c r="G9" s="93"/>
      <c r="H9" s="93"/>
      <c r="I9" s="93"/>
      <c r="J9" s="93"/>
      <c r="K9" s="93"/>
      <c r="L9" s="93"/>
      <c r="M9" s="93"/>
      <c r="N9" s="94"/>
    </row>
    <row r="10" spans="2:24">
      <c r="B10" s="90"/>
      <c r="C10" s="90"/>
      <c r="D10" s="95"/>
      <c r="E10" s="96"/>
      <c r="F10" s="96"/>
      <c r="G10" s="96"/>
      <c r="H10" s="96"/>
      <c r="I10" s="96"/>
      <c r="J10" s="96"/>
      <c r="K10" s="96"/>
      <c r="L10" s="96"/>
      <c r="M10" s="96"/>
      <c r="N10" s="97"/>
    </row>
    <row r="11" spans="2:24" ht="30">
      <c r="B11" s="91"/>
      <c r="C11" s="91"/>
      <c r="D11" s="55" t="s">
        <v>3246</v>
      </c>
      <c r="E11" s="55" t="s">
        <v>3847</v>
      </c>
      <c r="F11" s="55" t="s">
        <v>3856</v>
      </c>
      <c r="G11" s="55" t="s">
        <v>3857</v>
      </c>
      <c r="H11" s="55" t="s">
        <v>3858</v>
      </c>
      <c r="I11" s="55" t="s">
        <v>3859</v>
      </c>
      <c r="J11" s="55" t="s">
        <v>3860</v>
      </c>
      <c r="K11" s="55" t="s">
        <v>3861</v>
      </c>
      <c r="L11" s="55" t="s">
        <v>3862</v>
      </c>
      <c r="M11" s="55" t="s">
        <v>3863</v>
      </c>
      <c r="N11" s="55" t="s">
        <v>3864</v>
      </c>
    </row>
    <row r="12" spans="2:24">
      <c r="B12" s="42" t="s">
        <v>3223</v>
      </c>
      <c r="C12" s="42" t="s">
        <v>3219</v>
      </c>
      <c r="D12" s="42" t="s">
        <v>2879</v>
      </c>
      <c r="E12" s="42" t="s">
        <v>3229</v>
      </c>
      <c r="F12" s="42" t="s">
        <v>3231</v>
      </c>
      <c r="G12" s="42" t="s">
        <v>3233</v>
      </c>
      <c r="H12" s="42" t="s">
        <v>3234</v>
      </c>
      <c r="I12" s="42" t="s">
        <v>3236</v>
      </c>
      <c r="J12" s="42" t="s">
        <v>3239</v>
      </c>
      <c r="K12" s="42" t="s">
        <v>3241</v>
      </c>
      <c r="L12" s="42" t="s">
        <v>3243</v>
      </c>
      <c r="M12" s="42" t="s">
        <v>3375</v>
      </c>
      <c r="N12" s="42" t="s">
        <v>3475</v>
      </c>
      <c r="W12" s="13" t="str">
        <f>Show!$B$80&amp;"S.15.02.04.01 Rows {"&amp;COLUMN($B$1)&amp;"}"&amp;"@ForceFilingCode:true"</f>
        <v>!S.15.02.04.01 Rows {2}@ForceFilingCode:true</v>
      </c>
      <c r="X12" s="13" t="str">
        <f>Show!$B$80&amp;"S.15.02.04.01 Columns {"&amp;COLUMN($B$1)&amp;"}"</f>
        <v>!S.15.02.04.01 Columns {2}</v>
      </c>
    </row>
    <row r="13" spans="2:24">
      <c r="B13" s="50"/>
      <c r="C13" s="50"/>
      <c r="D13" s="51"/>
      <c r="E13" s="51"/>
      <c r="F13" s="51"/>
      <c r="G13" s="51"/>
      <c r="H13" s="51"/>
      <c r="I13" s="51"/>
      <c r="J13" s="51"/>
      <c r="K13" s="51"/>
      <c r="L13" s="51"/>
      <c r="M13" s="60"/>
      <c r="N13" s="60"/>
    </row>
    <row r="15" spans="2:24">
      <c r="W15" s="13" t="str">
        <f>Show!$B$80&amp;Show!$B$80&amp;"S.15.02.04.01 Rows {"&amp;COLUMN($B$1)&amp;"}"</f>
        <v>!!S.15.02.04.01 Rows {2}</v>
      </c>
      <c r="X15" s="13" t="str">
        <f>Show!$B$80&amp;Show!$B$80&amp;"S.15.02.04.01 Columns {"&amp;COLUMN($N$1)&amp;"}"</f>
        <v>!!S.15.02.04.01 Columns {14}</v>
      </c>
    </row>
  </sheetData>
  <sheetProtection sheet="1" objects="1" scenarios="1"/>
  <mergeCells count="5">
    <mergeCell ref="B2:O2"/>
    <mergeCell ref="B5:L5"/>
    <mergeCell ref="B9:B11"/>
    <mergeCell ref="C9:C11"/>
    <mergeCell ref="D9:N10"/>
  </mergeCells>
  <dataValidations count="2">
    <dataValidation type="list" errorStyle="warning" allowBlank="1" showInputMessage="1" showErrorMessage="1" sqref="F13" xr:uid="{25A1B43E-B142-4B2C-9CA4-971952BC38A2}">
      <formula1>hier_TB_2</formula1>
    </dataValidation>
    <dataValidation type="list" errorStyle="warning" allowBlank="1" showInputMessage="1" showErrorMessage="1" sqref="G13 H13 I13 J13 K13" xr:uid="{1D999FDD-BC80-468E-B4BC-83F8A27D295E}">
      <formula1>hier_CG_7</formula1>
    </dataValidation>
  </dataValidation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300E1-0368-4BD5-865A-1494B8590C93}">
  <sheetPr codeName="Blad85"/>
  <dimension ref="B2:P59"/>
  <sheetViews>
    <sheetView showGridLines="0" workbookViewId="0"/>
  </sheetViews>
  <sheetFormatPr defaultRowHeight="15"/>
  <cols>
    <col min="2" max="2" width="45.5703125" bestFit="1" customWidth="1"/>
    <col min="4" max="10" width="15.7109375" customWidth="1"/>
  </cols>
  <sheetData>
    <row r="2" spans="2:16" ht="23.25">
      <c r="B2" s="86" t="s">
        <v>632</v>
      </c>
      <c r="C2" s="87"/>
      <c r="D2" s="87"/>
      <c r="E2" s="87"/>
      <c r="F2" s="87"/>
      <c r="G2" s="87"/>
      <c r="H2" s="87"/>
      <c r="I2" s="87"/>
      <c r="J2" s="87"/>
      <c r="K2" s="87"/>
      <c r="L2" s="87"/>
      <c r="M2" s="87"/>
      <c r="N2" s="87"/>
      <c r="O2" s="87"/>
    </row>
    <row r="5" spans="2:16" ht="18.75">
      <c r="B5" s="88" t="s">
        <v>3866</v>
      </c>
      <c r="C5" s="87"/>
      <c r="D5" s="87"/>
      <c r="E5" s="87"/>
      <c r="F5" s="87"/>
      <c r="G5" s="87"/>
      <c r="H5" s="87"/>
      <c r="I5" s="87"/>
      <c r="J5" s="87"/>
      <c r="K5" s="87"/>
      <c r="L5" s="87"/>
    </row>
    <row r="7" spans="2:16">
      <c r="B7" t="s">
        <v>3110</v>
      </c>
      <c r="O7" s="13" t="str">
        <f>Show!$B$81&amp;"S.16.01.01.01 Table label {"&amp;COLUMN($C$1)&amp;"}"</f>
        <v>!S.16.01.01.01 Table label {3}</v>
      </c>
      <c r="P7" s="13" t="str">
        <f>Show!$B$81&amp;"S.16.01.01.01 Table value {"&amp;COLUMN($D$1)&amp;"}"</f>
        <v>!S.16.01.01.01 Table value {4}</v>
      </c>
    </row>
    <row r="8" spans="2:16">
      <c r="B8" t="s">
        <v>3111</v>
      </c>
    </row>
    <row r="9" spans="2:16">
      <c r="B9" s="40" t="s">
        <v>3867</v>
      </c>
      <c r="C9" s="53" t="s">
        <v>3113</v>
      </c>
      <c r="D9" s="51"/>
    </row>
    <row r="10" spans="2:16">
      <c r="B10" s="40" t="s">
        <v>3868</v>
      </c>
      <c r="C10" s="53" t="s">
        <v>3115</v>
      </c>
      <c r="D10" s="51"/>
    </row>
    <row r="11" spans="2:16">
      <c r="B11" s="40" t="s">
        <v>3606</v>
      </c>
      <c r="C11" s="53" t="s">
        <v>3323</v>
      </c>
      <c r="D11" s="51"/>
    </row>
    <row r="12" spans="2:16">
      <c r="O12" s="13" t="str">
        <f>Show!$B$81&amp;Show!$B$81&amp;"S.16.01.01.01 Table label {"&amp;COLUMN($C$1)&amp;"}"</f>
        <v>!!S.16.01.01.01 Table label {3}</v>
      </c>
      <c r="P12" s="13" t="str">
        <f>Show!$B$81&amp;Show!$B$81&amp;"S.16.01.01.01 Table value {"&amp;COLUMN($D$1)&amp;"}"</f>
        <v>!!S.16.01.01.01 Table value {4}</v>
      </c>
    </row>
    <row r="14" spans="2:16">
      <c r="D14" s="89" t="s">
        <v>2877</v>
      </c>
    </row>
    <row r="15" spans="2:16">
      <c r="D15" s="91"/>
    </row>
    <row r="16" spans="2:16" ht="30">
      <c r="D16" s="55" t="s">
        <v>3869</v>
      </c>
    </row>
    <row r="17" spans="2:16">
      <c r="D17" s="45" t="s">
        <v>2879</v>
      </c>
      <c r="O17" s="13" t="str">
        <f>Show!$B$81&amp;"S.16.01.01.01 Rows {"&amp;COLUMN($C$1)&amp;"}"&amp;"@ForceFilingCode:true"</f>
        <v>!S.16.01.01.01 Rows {3}@ForceFilingCode:true</v>
      </c>
      <c r="P17" s="13" t="str">
        <f>Show!$B$81&amp;"S.16.01.01.01 Columns {"&amp;COLUMN($D$1)&amp;"}"</f>
        <v>!S.16.01.01.01 Columns {4}</v>
      </c>
    </row>
    <row r="18" spans="2:16">
      <c r="B18" s="43" t="s">
        <v>2880</v>
      </c>
      <c r="C18" s="44" t="s">
        <v>2878</v>
      </c>
      <c r="D18" s="46"/>
    </row>
    <row r="19" spans="2:16">
      <c r="B19" s="47" t="s">
        <v>3870</v>
      </c>
      <c r="C19" s="41" t="s">
        <v>2883</v>
      </c>
      <c r="D19" s="70"/>
    </row>
    <row r="20" spans="2:16">
      <c r="B20" s="47" t="s">
        <v>3871</v>
      </c>
      <c r="C20" s="41" t="s">
        <v>2885</v>
      </c>
      <c r="D20" s="69"/>
    </row>
    <row r="21" spans="2:16">
      <c r="B21" s="47" t="s">
        <v>3872</v>
      </c>
      <c r="C21" s="41" t="s">
        <v>2887</v>
      </c>
      <c r="D21" s="69"/>
    </row>
    <row r="23" spans="2:16">
      <c r="O23" s="13" t="str">
        <f>Show!$B$81&amp;Show!$B$81&amp;"S.16.01.01.01 Rows {"&amp;COLUMN($C$1)&amp;"}"</f>
        <v>!!S.16.01.01.01 Rows {3}</v>
      </c>
      <c r="P23" s="13" t="str">
        <f>Show!$B$81&amp;Show!$B$81&amp;"S.16.01.01.01 Columns {"&amp;COLUMN($D$1)&amp;"}"</f>
        <v>!!S.16.01.01.01 Columns {4}</v>
      </c>
    </row>
    <row r="25" spans="2:16" ht="18.75">
      <c r="B25" s="88" t="s">
        <v>3873</v>
      </c>
      <c r="C25" s="87"/>
      <c r="D25" s="87"/>
      <c r="E25" s="87"/>
      <c r="F25" s="87"/>
      <c r="G25" s="87"/>
      <c r="H25" s="87"/>
      <c r="I25" s="87"/>
      <c r="J25" s="87"/>
      <c r="K25" s="87"/>
      <c r="L25" s="87"/>
    </row>
    <row r="27" spans="2:16">
      <c r="B27" t="s">
        <v>3110</v>
      </c>
      <c r="O27" s="13" t="str">
        <f>Show!$B$81&amp;"S.16.01.01.02 Table label {"&amp;COLUMN($C$1)&amp;"}"</f>
        <v>!S.16.01.01.02 Table label {3}</v>
      </c>
      <c r="P27" s="13" t="str">
        <f>Show!$B$81&amp;"S.16.01.01.02 Table value {"&amp;COLUMN($D$1)&amp;"}"</f>
        <v>!S.16.01.01.02 Table value {4}</v>
      </c>
    </row>
    <row r="28" spans="2:16">
      <c r="B28" t="s">
        <v>3111</v>
      </c>
    </row>
    <row r="29" spans="2:16">
      <c r="B29" s="40" t="s">
        <v>3867</v>
      </c>
      <c r="C29" s="53" t="s">
        <v>3113</v>
      </c>
      <c r="D29" s="51"/>
    </row>
    <row r="30" spans="2:16">
      <c r="B30" s="40" t="s">
        <v>3868</v>
      </c>
      <c r="C30" s="53" t="s">
        <v>3115</v>
      </c>
      <c r="D30" s="51"/>
    </row>
    <row r="31" spans="2:16">
      <c r="B31" s="40" t="s">
        <v>3606</v>
      </c>
      <c r="C31" s="53" t="s">
        <v>3323</v>
      </c>
      <c r="D31" s="51"/>
    </row>
    <row r="32" spans="2:16">
      <c r="B32" s="40" t="s">
        <v>3874</v>
      </c>
      <c r="C32" s="53" t="s">
        <v>3875</v>
      </c>
      <c r="D32" s="51"/>
    </row>
    <row r="33" spans="2:16">
      <c r="O33" s="13" t="str">
        <f>Show!$B$81&amp;Show!$B$81&amp;"S.16.01.01.02 Table label {"&amp;COLUMN($C$1)&amp;"}"</f>
        <v>!!S.16.01.01.02 Table label {3}</v>
      </c>
      <c r="P33" s="13" t="str">
        <f>Show!$B$81&amp;Show!$B$81&amp;"S.16.01.01.02 Table value {"&amp;COLUMN($D$1)&amp;"}"</f>
        <v>!!S.16.01.01.02 Table value {4}</v>
      </c>
    </row>
    <row r="35" spans="2:16">
      <c r="D35" s="92" t="s">
        <v>2877</v>
      </c>
      <c r="E35" s="93"/>
      <c r="F35" s="93"/>
      <c r="G35" s="93"/>
      <c r="H35" s="93"/>
      <c r="I35" s="93"/>
      <c r="J35" s="94"/>
    </row>
    <row r="36" spans="2:16">
      <c r="D36" s="95"/>
      <c r="E36" s="96"/>
      <c r="F36" s="96"/>
      <c r="G36" s="96"/>
      <c r="H36" s="96"/>
      <c r="I36" s="96"/>
      <c r="J36" s="97"/>
    </row>
    <row r="37" spans="2:16">
      <c r="D37" s="89" t="s">
        <v>3876</v>
      </c>
      <c r="E37" s="89" t="s">
        <v>3877</v>
      </c>
      <c r="F37" s="89" t="s">
        <v>3878</v>
      </c>
      <c r="G37" s="89" t="s">
        <v>3879</v>
      </c>
      <c r="H37" s="89" t="s">
        <v>3880</v>
      </c>
      <c r="I37" s="89" t="s">
        <v>3881</v>
      </c>
      <c r="J37" s="89" t="s">
        <v>3882</v>
      </c>
    </row>
    <row r="38" spans="2:16">
      <c r="D38" s="91"/>
      <c r="E38" s="91"/>
      <c r="F38" s="91"/>
      <c r="G38" s="91"/>
      <c r="H38" s="91"/>
      <c r="I38" s="91"/>
      <c r="J38" s="91"/>
    </row>
    <row r="39" spans="2:16">
      <c r="D39" s="45" t="s">
        <v>3219</v>
      </c>
      <c r="E39" s="45" t="s">
        <v>3225</v>
      </c>
      <c r="F39" s="45" t="s">
        <v>3223</v>
      </c>
      <c r="G39" s="45" t="s">
        <v>3229</v>
      </c>
      <c r="H39" s="45" t="s">
        <v>3231</v>
      </c>
      <c r="I39" s="45" t="s">
        <v>3233</v>
      </c>
      <c r="J39" s="45" t="s">
        <v>3234</v>
      </c>
      <c r="O39" s="13" t="str">
        <f>Show!$B$81&amp;"S.16.01.01.02 Rows {"&amp;COLUMN($C$1)&amp;"}"&amp;"@ForceFilingCode:true"</f>
        <v>!S.16.01.01.02 Rows {3}@ForceFilingCode:true</v>
      </c>
      <c r="P39" s="13" t="str">
        <f>Show!$B$81&amp;"S.16.01.01.02 Columns {"&amp;COLUMN($D$1)&amp;"}"</f>
        <v>!S.16.01.01.02 Columns {4}</v>
      </c>
    </row>
    <row r="40" spans="2:16">
      <c r="B40" s="43" t="s">
        <v>2880</v>
      </c>
      <c r="C40" s="44" t="s">
        <v>2878</v>
      </c>
      <c r="D40" s="56"/>
      <c r="E40" s="66"/>
      <c r="F40" s="66"/>
      <c r="G40" s="66"/>
      <c r="H40" s="66"/>
      <c r="I40" s="66"/>
      <c r="J40" s="57"/>
    </row>
    <row r="41" spans="2:16">
      <c r="B41" s="47" t="s">
        <v>3883</v>
      </c>
      <c r="C41" s="41" t="s">
        <v>2889</v>
      </c>
      <c r="D41" s="60"/>
      <c r="E41" s="60"/>
      <c r="F41" s="60"/>
      <c r="G41" s="60"/>
      <c r="H41" s="50"/>
      <c r="I41" s="60"/>
      <c r="J41" s="60"/>
    </row>
    <row r="42" spans="2:16">
      <c r="B42" s="49" t="s">
        <v>3884</v>
      </c>
      <c r="C42" s="41" t="s">
        <v>3078</v>
      </c>
      <c r="D42" s="60"/>
      <c r="E42" s="60"/>
      <c r="F42" s="60"/>
      <c r="G42" s="60"/>
      <c r="H42" s="50"/>
      <c r="I42" s="60"/>
      <c r="J42" s="60"/>
    </row>
    <row r="43" spans="2:16">
      <c r="B43" s="49" t="s">
        <v>3885</v>
      </c>
      <c r="C43" s="41" t="s">
        <v>2891</v>
      </c>
      <c r="D43" s="60"/>
      <c r="E43" s="60"/>
      <c r="F43" s="60"/>
      <c r="G43" s="60"/>
      <c r="H43" s="50"/>
      <c r="I43" s="60"/>
      <c r="J43" s="60"/>
    </row>
    <row r="44" spans="2:16">
      <c r="B44" s="49" t="s">
        <v>3886</v>
      </c>
      <c r="C44" s="41" t="s">
        <v>2893</v>
      </c>
      <c r="D44" s="60"/>
      <c r="E44" s="60"/>
      <c r="F44" s="60"/>
      <c r="G44" s="60"/>
      <c r="H44" s="50"/>
      <c r="I44" s="60"/>
      <c r="J44" s="60"/>
    </row>
    <row r="45" spans="2:16">
      <c r="B45" s="49" t="s">
        <v>3887</v>
      </c>
      <c r="C45" s="41" t="s">
        <v>2895</v>
      </c>
      <c r="D45" s="60"/>
      <c r="E45" s="60"/>
      <c r="F45" s="60"/>
      <c r="G45" s="60"/>
      <c r="H45" s="50"/>
      <c r="I45" s="60"/>
      <c r="J45" s="60"/>
    </row>
    <row r="46" spans="2:16">
      <c r="B46" s="49" t="s">
        <v>3888</v>
      </c>
      <c r="C46" s="41" t="s">
        <v>2897</v>
      </c>
      <c r="D46" s="60"/>
      <c r="E46" s="60"/>
      <c r="F46" s="60"/>
      <c r="G46" s="60"/>
      <c r="H46" s="50"/>
      <c r="I46" s="60"/>
      <c r="J46" s="60"/>
    </row>
    <row r="47" spans="2:16">
      <c r="B47" s="49" t="s">
        <v>3889</v>
      </c>
      <c r="C47" s="41" t="s">
        <v>2899</v>
      </c>
      <c r="D47" s="60"/>
      <c r="E47" s="60"/>
      <c r="F47" s="60"/>
      <c r="G47" s="60"/>
      <c r="H47" s="50"/>
      <c r="I47" s="60"/>
      <c r="J47" s="60"/>
    </row>
    <row r="48" spans="2:16">
      <c r="B48" s="49" t="s">
        <v>3890</v>
      </c>
      <c r="C48" s="41" t="s">
        <v>2901</v>
      </c>
      <c r="D48" s="60"/>
      <c r="E48" s="60"/>
      <c r="F48" s="60"/>
      <c r="G48" s="60"/>
      <c r="H48" s="50"/>
      <c r="I48" s="60"/>
      <c r="J48" s="60"/>
    </row>
    <row r="49" spans="2:16">
      <c r="B49" s="49" t="s">
        <v>3891</v>
      </c>
      <c r="C49" s="41" t="s">
        <v>2903</v>
      </c>
      <c r="D49" s="60"/>
      <c r="E49" s="60"/>
      <c r="F49" s="60"/>
      <c r="G49" s="60"/>
      <c r="H49" s="50"/>
      <c r="I49" s="60"/>
      <c r="J49" s="60"/>
    </row>
    <row r="50" spans="2:16">
      <c r="B50" s="49" t="s">
        <v>3892</v>
      </c>
      <c r="C50" s="41" t="s">
        <v>2905</v>
      </c>
      <c r="D50" s="60"/>
      <c r="E50" s="60"/>
      <c r="F50" s="60"/>
      <c r="G50" s="60"/>
      <c r="H50" s="50"/>
      <c r="I50" s="60"/>
      <c r="J50" s="60"/>
    </row>
    <row r="51" spans="2:16">
      <c r="B51" s="49" t="s">
        <v>3893</v>
      </c>
      <c r="C51" s="41" t="s">
        <v>2907</v>
      </c>
      <c r="D51" s="60"/>
      <c r="E51" s="60"/>
      <c r="F51" s="60"/>
      <c r="G51" s="60"/>
      <c r="H51" s="50"/>
      <c r="I51" s="60"/>
      <c r="J51" s="60"/>
    </row>
    <row r="52" spans="2:16">
      <c r="B52" s="49" t="s">
        <v>3894</v>
      </c>
      <c r="C52" s="41" t="s">
        <v>2909</v>
      </c>
      <c r="D52" s="60"/>
      <c r="E52" s="60"/>
      <c r="F52" s="60"/>
      <c r="G52" s="60"/>
      <c r="H52" s="50"/>
      <c r="I52" s="60"/>
      <c r="J52" s="60"/>
    </row>
    <row r="53" spans="2:16">
      <c r="B53" s="49" t="s">
        <v>3895</v>
      </c>
      <c r="C53" s="41" t="s">
        <v>2911</v>
      </c>
      <c r="D53" s="60"/>
      <c r="E53" s="60"/>
      <c r="F53" s="60"/>
      <c r="G53" s="60"/>
      <c r="H53" s="50"/>
      <c r="I53" s="60"/>
      <c r="J53" s="60"/>
    </row>
    <row r="54" spans="2:16">
      <c r="B54" s="49" t="s">
        <v>3896</v>
      </c>
      <c r="C54" s="41" t="s">
        <v>2913</v>
      </c>
      <c r="D54" s="60"/>
      <c r="E54" s="60"/>
      <c r="F54" s="60"/>
      <c r="G54" s="60"/>
      <c r="H54" s="50"/>
      <c r="I54" s="60"/>
      <c r="J54" s="60"/>
    </row>
    <row r="55" spans="2:16">
      <c r="B55" s="49" t="s">
        <v>3897</v>
      </c>
      <c r="C55" s="41" t="s">
        <v>2915</v>
      </c>
      <c r="D55" s="60"/>
      <c r="E55" s="60"/>
      <c r="F55" s="60"/>
      <c r="G55" s="60"/>
      <c r="H55" s="50"/>
      <c r="I55" s="60"/>
      <c r="J55" s="60"/>
    </row>
    <row r="56" spans="2:16">
      <c r="B56" s="49" t="s">
        <v>3898</v>
      </c>
      <c r="C56" s="41" t="s">
        <v>2917</v>
      </c>
      <c r="D56" s="60"/>
      <c r="E56" s="60"/>
      <c r="F56" s="60"/>
      <c r="G56" s="60"/>
      <c r="H56" s="50"/>
      <c r="I56" s="60"/>
      <c r="J56" s="60"/>
    </row>
    <row r="57" spans="2:16">
      <c r="B57" s="47" t="s">
        <v>3480</v>
      </c>
      <c r="C57" s="41" t="s">
        <v>2919</v>
      </c>
      <c r="D57" s="60"/>
      <c r="E57" s="60"/>
      <c r="F57" s="60"/>
      <c r="G57" s="60"/>
      <c r="H57" s="50"/>
      <c r="I57" s="60"/>
      <c r="J57" s="60"/>
    </row>
    <row r="59" spans="2:16">
      <c r="O59" s="13" t="str">
        <f>Show!$B$81&amp;Show!$B$81&amp;"S.16.01.01.02 Rows {"&amp;COLUMN($C$1)&amp;"}"</f>
        <v>!!S.16.01.01.02 Rows {3}</v>
      </c>
      <c r="P59" s="13" t="str">
        <f>Show!$B$81&amp;Show!$B$81&amp;"S.16.01.01.02 Columns {"&amp;COLUMN($J$1)&amp;"}"</f>
        <v>!!S.16.01.01.02 Columns {10}</v>
      </c>
    </row>
  </sheetData>
  <sheetProtection sheet="1" objects="1" scenarios="1"/>
  <mergeCells count="12">
    <mergeCell ref="I37:I38"/>
    <mergeCell ref="J37:J38"/>
    <mergeCell ref="B2:O2"/>
    <mergeCell ref="B5:L5"/>
    <mergeCell ref="D14:D15"/>
    <mergeCell ref="B25:L25"/>
    <mergeCell ref="D35:J36"/>
    <mergeCell ref="D37:D38"/>
    <mergeCell ref="E37:E38"/>
    <mergeCell ref="F37:F38"/>
    <mergeCell ref="G37:G38"/>
    <mergeCell ref="H37:H38"/>
  </mergeCells>
  <dataValidations count="4">
    <dataValidation type="list" errorStyle="warning" allowBlank="1" showInputMessage="1" showErrorMessage="1" sqref="D9 D29" xr:uid="{81739ECB-CEC5-4A38-AA23-71255F50F9FB}">
      <formula1>hier_LB_31</formula1>
    </dataValidation>
    <dataValidation type="list" errorStyle="warning" allowBlank="1" showInputMessage="1" showErrorMessage="1" sqref="D10 D30" xr:uid="{AC7C1087-9FF5-45C5-A58E-BF8F80B4288F}">
      <formula1>hier_AM_8</formula1>
    </dataValidation>
    <dataValidation type="list" errorStyle="warning" allowBlank="1" showInputMessage="1" showErrorMessage="1" sqref="D11 D31" xr:uid="{9CA99EEC-E12E-4401-AC7A-39F9823F48C0}">
      <formula1>hier_CU_1</formula1>
    </dataValidation>
    <dataValidation type="list" errorStyle="warning" allowBlank="1" showInputMessage="1" showErrorMessage="1" sqref="D32" xr:uid="{8474AC40-B615-4E2B-B8FC-1D4ACCA79E1D}">
      <formula1>hier_CA_1</formula1>
    </dataValidation>
  </dataValidation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BA23A-EF8F-4F43-AC4E-DDD9A5AF0FCA}">
  <sheetPr codeName="Blad86"/>
  <dimension ref="B2:AB81"/>
  <sheetViews>
    <sheetView showGridLines="0" workbookViewId="0"/>
  </sheetViews>
  <sheetFormatPr defaultRowHeight="15"/>
  <cols>
    <col min="2" max="2" width="85.140625" bestFit="1" customWidth="1"/>
    <col min="4" max="20" width="15.7109375" customWidth="1"/>
  </cols>
  <sheetData>
    <row r="2" spans="2:28" ht="23.25">
      <c r="B2" s="86" t="s">
        <v>634</v>
      </c>
      <c r="C2" s="87"/>
      <c r="D2" s="87"/>
      <c r="E2" s="87"/>
      <c r="F2" s="87"/>
      <c r="G2" s="87"/>
      <c r="H2" s="87"/>
      <c r="I2" s="87"/>
      <c r="J2" s="87"/>
      <c r="K2" s="87"/>
      <c r="L2" s="87"/>
      <c r="M2" s="87"/>
      <c r="N2" s="87"/>
      <c r="O2" s="87"/>
    </row>
    <row r="5" spans="2:28" ht="18.75">
      <c r="B5" s="88" t="s">
        <v>3899</v>
      </c>
      <c r="C5" s="87"/>
      <c r="D5" s="87"/>
      <c r="E5" s="87"/>
      <c r="F5" s="87"/>
      <c r="G5" s="87"/>
      <c r="H5" s="87"/>
      <c r="I5" s="87"/>
      <c r="J5" s="87"/>
      <c r="K5" s="87"/>
      <c r="L5" s="87"/>
    </row>
    <row r="9" spans="2:28">
      <c r="D9" s="92" t="s">
        <v>2877</v>
      </c>
      <c r="E9" s="93"/>
      <c r="F9" s="93"/>
      <c r="G9" s="93"/>
      <c r="H9" s="93"/>
      <c r="I9" s="93"/>
      <c r="J9" s="93"/>
      <c r="K9" s="93"/>
      <c r="L9" s="93"/>
      <c r="M9" s="93"/>
      <c r="N9" s="93"/>
      <c r="O9" s="93"/>
      <c r="P9" s="93"/>
      <c r="Q9" s="93"/>
      <c r="R9" s="93"/>
      <c r="S9" s="93"/>
      <c r="T9" s="94"/>
    </row>
    <row r="10" spans="2:28">
      <c r="D10" s="95"/>
      <c r="E10" s="96"/>
      <c r="F10" s="96"/>
      <c r="G10" s="96"/>
      <c r="H10" s="96"/>
      <c r="I10" s="96"/>
      <c r="J10" s="96"/>
      <c r="K10" s="96"/>
      <c r="L10" s="96"/>
      <c r="M10" s="96"/>
      <c r="N10" s="96"/>
      <c r="O10" s="96"/>
      <c r="P10" s="96"/>
      <c r="Q10" s="96"/>
      <c r="R10" s="96"/>
      <c r="S10" s="96"/>
      <c r="T10" s="97"/>
    </row>
    <row r="11" spans="2:28">
      <c r="D11" s="98" t="s">
        <v>3900</v>
      </c>
      <c r="E11" s="100"/>
      <c r="F11" s="100"/>
      <c r="G11" s="100"/>
      <c r="H11" s="100"/>
      <c r="I11" s="100"/>
      <c r="J11" s="100"/>
      <c r="K11" s="100"/>
      <c r="L11" s="100"/>
      <c r="M11" s="100"/>
      <c r="N11" s="100"/>
      <c r="O11" s="99"/>
      <c r="P11" s="98" t="s">
        <v>3901</v>
      </c>
      <c r="Q11" s="100"/>
      <c r="R11" s="100"/>
      <c r="S11" s="99"/>
      <c r="T11" s="89" t="s">
        <v>3906</v>
      </c>
    </row>
    <row r="12" spans="2:28">
      <c r="D12" s="89" t="s">
        <v>3460</v>
      </c>
      <c r="E12" s="89" t="s">
        <v>3461</v>
      </c>
      <c r="F12" s="89" t="s">
        <v>3462</v>
      </c>
      <c r="G12" s="89" t="s">
        <v>3463</v>
      </c>
      <c r="H12" s="89" t="s">
        <v>3464</v>
      </c>
      <c r="I12" s="89" t="s">
        <v>3465</v>
      </c>
      <c r="J12" s="89" t="s">
        <v>3466</v>
      </c>
      <c r="K12" s="89" t="s">
        <v>3467</v>
      </c>
      <c r="L12" s="89" t="s">
        <v>3468</v>
      </c>
      <c r="M12" s="89" t="s">
        <v>3469</v>
      </c>
      <c r="N12" s="89" t="s">
        <v>3470</v>
      </c>
      <c r="O12" s="89" t="s">
        <v>3471</v>
      </c>
      <c r="P12" s="89" t="s">
        <v>3902</v>
      </c>
      <c r="Q12" s="89" t="s">
        <v>3903</v>
      </c>
      <c r="R12" s="89" t="s">
        <v>3904</v>
      </c>
      <c r="S12" s="89" t="s">
        <v>3905</v>
      </c>
      <c r="T12" s="90"/>
    </row>
    <row r="13" spans="2:28">
      <c r="D13" s="90"/>
      <c r="E13" s="90"/>
      <c r="F13" s="90"/>
      <c r="G13" s="90"/>
      <c r="H13" s="90"/>
      <c r="I13" s="90"/>
      <c r="J13" s="90"/>
      <c r="K13" s="90"/>
      <c r="L13" s="90"/>
      <c r="M13" s="90"/>
      <c r="N13" s="90"/>
      <c r="O13" s="90"/>
      <c r="P13" s="90"/>
      <c r="Q13" s="90"/>
      <c r="R13" s="90"/>
      <c r="S13" s="90"/>
      <c r="T13" s="90"/>
    </row>
    <row r="14" spans="2:28">
      <c r="D14" s="90"/>
      <c r="E14" s="90"/>
      <c r="F14" s="90"/>
      <c r="G14" s="90"/>
      <c r="H14" s="90"/>
      <c r="I14" s="90"/>
      <c r="J14" s="90"/>
      <c r="K14" s="90"/>
      <c r="L14" s="90"/>
      <c r="M14" s="90"/>
      <c r="N14" s="90"/>
      <c r="O14" s="90"/>
      <c r="P14" s="90"/>
      <c r="Q14" s="90"/>
      <c r="R14" s="90"/>
      <c r="S14" s="90"/>
      <c r="T14" s="90"/>
    </row>
    <row r="15" spans="2:28">
      <c r="D15" s="91"/>
      <c r="E15" s="91"/>
      <c r="F15" s="91"/>
      <c r="G15" s="91"/>
      <c r="H15" s="91"/>
      <c r="I15" s="91"/>
      <c r="J15" s="91"/>
      <c r="K15" s="91"/>
      <c r="L15" s="91"/>
      <c r="M15" s="91"/>
      <c r="N15" s="91"/>
      <c r="O15" s="91"/>
      <c r="P15" s="91"/>
      <c r="Q15" s="91"/>
      <c r="R15" s="91"/>
      <c r="S15" s="91"/>
      <c r="T15" s="91"/>
    </row>
    <row r="16" spans="2:28">
      <c r="D16" s="45" t="s">
        <v>3219</v>
      </c>
      <c r="E16" s="45" t="s">
        <v>3225</v>
      </c>
      <c r="F16" s="45" t="s">
        <v>3223</v>
      </c>
      <c r="G16" s="45" t="s">
        <v>3229</v>
      </c>
      <c r="H16" s="45" t="s">
        <v>3231</v>
      </c>
      <c r="I16" s="45" t="s">
        <v>3233</v>
      </c>
      <c r="J16" s="45" t="s">
        <v>3234</v>
      </c>
      <c r="K16" s="45" t="s">
        <v>3236</v>
      </c>
      <c r="L16" s="45" t="s">
        <v>3239</v>
      </c>
      <c r="M16" s="45" t="s">
        <v>3241</v>
      </c>
      <c r="N16" s="45" t="s">
        <v>3243</v>
      </c>
      <c r="O16" s="45" t="s">
        <v>3375</v>
      </c>
      <c r="P16" s="45" t="s">
        <v>3475</v>
      </c>
      <c r="Q16" s="45" t="s">
        <v>3477</v>
      </c>
      <c r="R16" s="45" t="s">
        <v>3479</v>
      </c>
      <c r="S16" s="45" t="s">
        <v>3594</v>
      </c>
      <c r="T16" s="45" t="s">
        <v>3596</v>
      </c>
      <c r="AA16" s="13" t="str">
        <f>Show!$B$82&amp;"S.17.01.01.01 Rows {"&amp;COLUMN($C$1)&amp;"}"&amp;"@ForceFilingCode:true"</f>
        <v>!S.17.01.01.01 Rows {3}@ForceFilingCode:true</v>
      </c>
      <c r="AB16" s="13" t="str">
        <f>Show!$B$82&amp;"S.17.01.01.01 Columns {"&amp;COLUMN($D$1)&amp;"}"</f>
        <v>!S.17.01.01.01 Columns {4}</v>
      </c>
    </row>
    <row r="17" spans="2:20">
      <c r="B17" s="43" t="s">
        <v>2880</v>
      </c>
      <c r="C17" s="44" t="s">
        <v>2878</v>
      </c>
      <c r="D17" s="56"/>
      <c r="E17" s="66"/>
      <c r="F17" s="66"/>
      <c r="G17" s="66"/>
      <c r="H17" s="66"/>
      <c r="I17" s="66"/>
      <c r="J17" s="66"/>
      <c r="K17" s="66"/>
      <c r="L17" s="66"/>
      <c r="M17" s="66"/>
      <c r="N17" s="66"/>
      <c r="O17" s="66"/>
      <c r="P17" s="66"/>
      <c r="Q17" s="66"/>
      <c r="R17" s="66"/>
      <c r="S17" s="66"/>
      <c r="T17" s="57"/>
    </row>
    <row r="18" spans="2:20">
      <c r="B18" s="47" t="s">
        <v>3291</v>
      </c>
      <c r="C18" s="41" t="s">
        <v>2883</v>
      </c>
      <c r="D18" s="60"/>
      <c r="E18" s="60"/>
      <c r="F18" s="60"/>
      <c r="G18" s="60"/>
      <c r="H18" s="60"/>
      <c r="I18" s="60"/>
      <c r="J18" s="60"/>
      <c r="K18" s="60"/>
      <c r="L18" s="60"/>
      <c r="M18" s="60"/>
      <c r="N18" s="60"/>
      <c r="O18" s="60"/>
      <c r="P18" s="63"/>
      <c r="Q18" s="63"/>
      <c r="R18" s="63"/>
      <c r="S18" s="63"/>
      <c r="T18" s="60"/>
    </row>
    <row r="19" spans="2:20">
      <c r="B19" s="49" t="s">
        <v>3907</v>
      </c>
      <c r="C19" s="41" t="s">
        <v>2885</v>
      </c>
      <c r="D19" s="60"/>
      <c r="E19" s="60"/>
      <c r="F19" s="60"/>
      <c r="G19" s="60"/>
      <c r="H19" s="60"/>
      <c r="I19" s="60"/>
      <c r="J19" s="60"/>
      <c r="K19" s="60"/>
      <c r="L19" s="60"/>
      <c r="M19" s="60"/>
      <c r="N19" s="60"/>
      <c r="O19" s="64"/>
      <c r="P19" s="58"/>
      <c r="Q19" s="58"/>
      <c r="R19" s="58"/>
      <c r="S19" s="48"/>
      <c r="T19" s="60"/>
    </row>
    <row r="20" spans="2:20">
      <c r="B20" s="49" t="s">
        <v>3908</v>
      </c>
      <c r="C20" s="41" t="s">
        <v>2887</v>
      </c>
      <c r="D20" s="63"/>
      <c r="E20" s="63"/>
      <c r="F20" s="63"/>
      <c r="G20" s="63"/>
      <c r="H20" s="63"/>
      <c r="I20" s="63"/>
      <c r="J20" s="63"/>
      <c r="K20" s="63"/>
      <c r="L20" s="63"/>
      <c r="M20" s="63"/>
      <c r="N20" s="63"/>
      <c r="O20" s="65"/>
      <c r="P20" s="56"/>
      <c r="Q20" s="56"/>
      <c r="R20" s="56"/>
      <c r="S20" s="46"/>
      <c r="T20" s="60"/>
    </row>
    <row r="21" spans="2:20">
      <c r="B21" s="49" t="s">
        <v>3909</v>
      </c>
      <c r="C21" s="44" t="s">
        <v>2889</v>
      </c>
      <c r="D21" s="56"/>
      <c r="E21" s="56"/>
      <c r="F21" s="56"/>
      <c r="G21" s="56"/>
      <c r="H21" s="56"/>
      <c r="I21" s="56"/>
      <c r="J21" s="56"/>
      <c r="K21" s="56"/>
      <c r="L21" s="56"/>
      <c r="M21" s="56"/>
      <c r="N21" s="56"/>
      <c r="O21" s="46"/>
      <c r="P21" s="60"/>
      <c r="Q21" s="60"/>
      <c r="R21" s="60"/>
      <c r="S21" s="60"/>
      <c r="T21" s="60"/>
    </row>
    <row r="22" spans="2:20" ht="30">
      <c r="B22" s="47" t="s">
        <v>3752</v>
      </c>
      <c r="C22" s="41" t="s">
        <v>3078</v>
      </c>
      <c r="D22" s="63"/>
      <c r="E22" s="63"/>
      <c r="F22" s="63"/>
      <c r="G22" s="63"/>
      <c r="H22" s="63"/>
      <c r="I22" s="63"/>
      <c r="J22" s="63"/>
      <c r="K22" s="63"/>
      <c r="L22" s="63"/>
      <c r="M22" s="63"/>
      <c r="N22" s="63"/>
      <c r="O22" s="63"/>
      <c r="P22" s="63"/>
      <c r="Q22" s="63"/>
      <c r="R22" s="63"/>
      <c r="S22" s="63"/>
      <c r="T22" s="63"/>
    </row>
    <row r="23" spans="2:20">
      <c r="B23" s="47" t="s">
        <v>3753</v>
      </c>
      <c r="C23" s="44" t="s">
        <v>2878</v>
      </c>
      <c r="D23" s="58"/>
      <c r="E23" s="67"/>
      <c r="F23" s="67"/>
      <c r="G23" s="67"/>
      <c r="H23" s="67"/>
      <c r="I23" s="67"/>
      <c r="J23" s="67"/>
      <c r="K23" s="67"/>
      <c r="L23" s="67"/>
      <c r="M23" s="67"/>
      <c r="N23" s="67"/>
      <c r="O23" s="67"/>
      <c r="P23" s="67"/>
      <c r="Q23" s="67"/>
      <c r="R23" s="67"/>
      <c r="S23" s="67"/>
      <c r="T23" s="59"/>
    </row>
    <row r="24" spans="2:20">
      <c r="B24" s="49" t="s">
        <v>3764</v>
      </c>
      <c r="C24" s="44" t="s">
        <v>2878</v>
      </c>
      <c r="D24" s="58"/>
      <c r="E24" s="67"/>
      <c r="F24" s="67"/>
      <c r="G24" s="67"/>
      <c r="H24" s="67"/>
      <c r="I24" s="67"/>
      <c r="J24" s="67"/>
      <c r="K24" s="67"/>
      <c r="L24" s="67"/>
      <c r="M24" s="67"/>
      <c r="N24" s="67"/>
      <c r="O24" s="67"/>
      <c r="P24" s="67"/>
      <c r="Q24" s="67"/>
      <c r="R24" s="67"/>
      <c r="S24" s="67"/>
      <c r="T24" s="59"/>
    </row>
    <row r="25" spans="2:20">
      <c r="B25" s="61" t="s">
        <v>3910</v>
      </c>
      <c r="C25" s="44" t="s">
        <v>2878</v>
      </c>
      <c r="D25" s="56"/>
      <c r="E25" s="66"/>
      <c r="F25" s="66"/>
      <c r="G25" s="66"/>
      <c r="H25" s="66"/>
      <c r="I25" s="66"/>
      <c r="J25" s="66"/>
      <c r="K25" s="66"/>
      <c r="L25" s="66"/>
      <c r="M25" s="66"/>
      <c r="N25" s="66"/>
      <c r="O25" s="66"/>
      <c r="P25" s="66"/>
      <c r="Q25" s="66"/>
      <c r="R25" s="66"/>
      <c r="S25" s="66"/>
      <c r="T25" s="57"/>
    </row>
    <row r="26" spans="2:20">
      <c r="B26" s="62" t="s">
        <v>3911</v>
      </c>
      <c r="C26" s="41" t="s">
        <v>2891</v>
      </c>
      <c r="D26" s="60"/>
      <c r="E26" s="60"/>
      <c r="F26" s="60"/>
      <c r="G26" s="60"/>
      <c r="H26" s="60"/>
      <c r="I26" s="60"/>
      <c r="J26" s="60"/>
      <c r="K26" s="60"/>
      <c r="L26" s="60"/>
      <c r="M26" s="60"/>
      <c r="N26" s="60"/>
      <c r="O26" s="60"/>
      <c r="P26" s="63"/>
      <c r="Q26" s="63"/>
      <c r="R26" s="63"/>
      <c r="S26" s="63"/>
      <c r="T26" s="60"/>
    </row>
    <row r="27" spans="2:20">
      <c r="B27" s="72" t="s">
        <v>3912</v>
      </c>
      <c r="C27" s="41" t="s">
        <v>2893</v>
      </c>
      <c r="D27" s="60"/>
      <c r="E27" s="60"/>
      <c r="F27" s="60"/>
      <c r="G27" s="60"/>
      <c r="H27" s="60"/>
      <c r="I27" s="60"/>
      <c r="J27" s="60"/>
      <c r="K27" s="60"/>
      <c r="L27" s="60"/>
      <c r="M27" s="60"/>
      <c r="N27" s="60"/>
      <c r="O27" s="64"/>
      <c r="P27" s="58"/>
      <c r="Q27" s="58"/>
      <c r="R27" s="58"/>
      <c r="S27" s="48"/>
      <c r="T27" s="60"/>
    </row>
    <row r="28" spans="2:20">
      <c r="B28" s="72" t="s">
        <v>3913</v>
      </c>
      <c r="C28" s="41" t="s">
        <v>2895</v>
      </c>
      <c r="D28" s="63"/>
      <c r="E28" s="63"/>
      <c r="F28" s="63"/>
      <c r="G28" s="63"/>
      <c r="H28" s="63"/>
      <c r="I28" s="63"/>
      <c r="J28" s="63"/>
      <c r="K28" s="63"/>
      <c r="L28" s="63"/>
      <c r="M28" s="63"/>
      <c r="N28" s="63"/>
      <c r="O28" s="65"/>
      <c r="P28" s="56"/>
      <c r="Q28" s="56"/>
      <c r="R28" s="56"/>
      <c r="S28" s="46"/>
      <c r="T28" s="60"/>
    </row>
    <row r="29" spans="2:20">
      <c r="B29" s="72" t="s">
        <v>3914</v>
      </c>
      <c r="C29" s="44" t="s">
        <v>2897</v>
      </c>
      <c r="D29" s="56"/>
      <c r="E29" s="56"/>
      <c r="F29" s="56"/>
      <c r="G29" s="56"/>
      <c r="H29" s="56"/>
      <c r="I29" s="56"/>
      <c r="J29" s="56"/>
      <c r="K29" s="56"/>
      <c r="L29" s="56"/>
      <c r="M29" s="56"/>
      <c r="N29" s="56"/>
      <c r="O29" s="46"/>
      <c r="P29" s="60"/>
      <c r="Q29" s="60"/>
      <c r="R29" s="60"/>
      <c r="S29" s="60"/>
      <c r="T29" s="60"/>
    </row>
    <row r="30" spans="2:20" ht="30">
      <c r="B30" s="62" t="s">
        <v>3915</v>
      </c>
      <c r="C30" s="41" t="s">
        <v>2899</v>
      </c>
      <c r="D30" s="60"/>
      <c r="E30" s="60"/>
      <c r="F30" s="60"/>
      <c r="G30" s="60"/>
      <c r="H30" s="60"/>
      <c r="I30" s="60"/>
      <c r="J30" s="60"/>
      <c r="K30" s="60"/>
      <c r="L30" s="60"/>
      <c r="M30" s="60"/>
      <c r="N30" s="60"/>
      <c r="O30" s="60"/>
      <c r="P30" s="60"/>
      <c r="Q30" s="60"/>
      <c r="R30" s="60"/>
      <c r="S30" s="60"/>
      <c r="T30" s="60"/>
    </row>
    <row r="31" spans="2:20" ht="30">
      <c r="B31" s="72" t="s">
        <v>3916</v>
      </c>
      <c r="C31" s="41" t="s">
        <v>2901</v>
      </c>
      <c r="D31" s="60"/>
      <c r="E31" s="60"/>
      <c r="F31" s="60"/>
      <c r="G31" s="60"/>
      <c r="H31" s="60"/>
      <c r="I31" s="60"/>
      <c r="J31" s="60"/>
      <c r="K31" s="60"/>
      <c r="L31" s="60"/>
      <c r="M31" s="60"/>
      <c r="N31" s="60"/>
      <c r="O31" s="60"/>
      <c r="P31" s="60"/>
      <c r="Q31" s="60"/>
      <c r="R31" s="60"/>
      <c r="S31" s="60"/>
      <c r="T31" s="60"/>
    </row>
    <row r="32" spans="2:20">
      <c r="B32" s="72" t="s">
        <v>3757</v>
      </c>
      <c r="C32" s="41" t="s">
        <v>2903</v>
      </c>
      <c r="D32" s="60"/>
      <c r="E32" s="60"/>
      <c r="F32" s="60"/>
      <c r="G32" s="60"/>
      <c r="H32" s="60"/>
      <c r="I32" s="60"/>
      <c r="J32" s="60"/>
      <c r="K32" s="60"/>
      <c r="L32" s="60"/>
      <c r="M32" s="60"/>
      <c r="N32" s="60"/>
      <c r="O32" s="60"/>
      <c r="P32" s="60"/>
      <c r="Q32" s="60"/>
      <c r="R32" s="60"/>
      <c r="S32" s="60"/>
      <c r="T32" s="60"/>
    </row>
    <row r="33" spans="2:20">
      <c r="B33" s="72" t="s">
        <v>3917</v>
      </c>
      <c r="C33" s="41" t="s">
        <v>2905</v>
      </c>
      <c r="D33" s="60"/>
      <c r="E33" s="60"/>
      <c r="F33" s="60"/>
      <c r="G33" s="60"/>
      <c r="H33" s="60"/>
      <c r="I33" s="60"/>
      <c r="J33" s="60"/>
      <c r="K33" s="60"/>
      <c r="L33" s="60"/>
      <c r="M33" s="60"/>
      <c r="N33" s="60"/>
      <c r="O33" s="60"/>
      <c r="P33" s="60"/>
      <c r="Q33" s="60"/>
      <c r="R33" s="60"/>
      <c r="S33" s="60"/>
      <c r="T33" s="60"/>
    </row>
    <row r="34" spans="2:20" ht="30">
      <c r="B34" s="62" t="s">
        <v>3918</v>
      </c>
      <c r="C34" s="41" t="s">
        <v>2907</v>
      </c>
      <c r="D34" s="60"/>
      <c r="E34" s="60"/>
      <c r="F34" s="60"/>
      <c r="G34" s="60"/>
      <c r="H34" s="60"/>
      <c r="I34" s="60"/>
      <c r="J34" s="60"/>
      <c r="K34" s="60"/>
      <c r="L34" s="60"/>
      <c r="M34" s="60"/>
      <c r="N34" s="60"/>
      <c r="O34" s="60"/>
      <c r="P34" s="60"/>
      <c r="Q34" s="60"/>
      <c r="R34" s="60"/>
      <c r="S34" s="60"/>
      <c r="T34" s="60"/>
    </row>
    <row r="35" spans="2:20">
      <c r="B35" s="62" t="s">
        <v>3919</v>
      </c>
      <c r="C35" s="41" t="s">
        <v>2909</v>
      </c>
      <c r="D35" s="63"/>
      <c r="E35" s="63"/>
      <c r="F35" s="63"/>
      <c r="G35" s="63"/>
      <c r="H35" s="63"/>
      <c r="I35" s="63"/>
      <c r="J35" s="63"/>
      <c r="K35" s="63"/>
      <c r="L35" s="63"/>
      <c r="M35" s="63"/>
      <c r="N35" s="63"/>
      <c r="O35" s="63"/>
      <c r="P35" s="63"/>
      <c r="Q35" s="63"/>
      <c r="R35" s="63"/>
      <c r="S35" s="63"/>
      <c r="T35" s="63"/>
    </row>
    <row r="36" spans="2:20">
      <c r="B36" s="61" t="s">
        <v>3920</v>
      </c>
      <c r="C36" s="44" t="s">
        <v>2878</v>
      </c>
      <c r="D36" s="56"/>
      <c r="E36" s="66"/>
      <c r="F36" s="66"/>
      <c r="G36" s="66"/>
      <c r="H36" s="66"/>
      <c r="I36" s="66"/>
      <c r="J36" s="66"/>
      <c r="K36" s="66"/>
      <c r="L36" s="66"/>
      <c r="M36" s="66"/>
      <c r="N36" s="66"/>
      <c r="O36" s="66"/>
      <c r="P36" s="66"/>
      <c r="Q36" s="66"/>
      <c r="R36" s="66"/>
      <c r="S36" s="66"/>
      <c r="T36" s="57"/>
    </row>
    <row r="37" spans="2:20">
      <c r="B37" s="62" t="s">
        <v>3911</v>
      </c>
      <c r="C37" s="41" t="s">
        <v>2911</v>
      </c>
      <c r="D37" s="60"/>
      <c r="E37" s="60"/>
      <c r="F37" s="60"/>
      <c r="G37" s="60"/>
      <c r="H37" s="60"/>
      <c r="I37" s="60"/>
      <c r="J37" s="60"/>
      <c r="K37" s="60"/>
      <c r="L37" s="60"/>
      <c r="M37" s="60"/>
      <c r="N37" s="60"/>
      <c r="O37" s="60"/>
      <c r="P37" s="63"/>
      <c r="Q37" s="63"/>
      <c r="R37" s="63"/>
      <c r="S37" s="63"/>
      <c r="T37" s="60"/>
    </row>
    <row r="38" spans="2:20">
      <c r="B38" s="72" t="s">
        <v>3912</v>
      </c>
      <c r="C38" s="41" t="s">
        <v>2913</v>
      </c>
      <c r="D38" s="60"/>
      <c r="E38" s="60"/>
      <c r="F38" s="60"/>
      <c r="G38" s="60"/>
      <c r="H38" s="60"/>
      <c r="I38" s="60"/>
      <c r="J38" s="60"/>
      <c r="K38" s="60"/>
      <c r="L38" s="60"/>
      <c r="M38" s="60"/>
      <c r="N38" s="60"/>
      <c r="O38" s="64"/>
      <c r="P38" s="58"/>
      <c r="Q38" s="58"/>
      <c r="R38" s="58"/>
      <c r="S38" s="48"/>
      <c r="T38" s="60"/>
    </row>
    <row r="39" spans="2:20">
      <c r="B39" s="72" t="s">
        <v>3913</v>
      </c>
      <c r="C39" s="41" t="s">
        <v>2915</v>
      </c>
      <c r="D39" s="63"/>
      <c r="E39" s="63"/>
      <c r="F39" s="63"/>
      <c r="G39" s="63"/>
      <c r="H39" s="63"/>
      <c r="I39" s="63"/>
      <c r="J39" s="63"/>
      <c r="K39" s="63"/>
      <c r="L39" s="63"/>
      <c r="M39" s="63"/>
      <c r="N39" s="63"/>
      <c r="O39" s="65"/>
      <c r="P39" s="56"/>
      <c r="Q39" s="56"/>
      <c r="R39" s="56"/>
      <c r="S39" s="46"/>
      <c r="T39" s="60"/>
    </row>
    <row r="40" spans="2:20">
      <c r="B40" s="72" t="s">
        <v>3914</v>
      </c>
      <c r="C40" s="44" t="s">
        <v>2917</v>
      </c>
      <c r="D40" s="56"/>
      <c r="E40" s="56"/>
      <c r="F40" s="56"/>
      <c r="G40" s="56"/>
      <c r="H40" s="56"/>
      <c r="I40" s="56"/>
      <c r="J40" s="56"/>
      <c r="K40" s="56"/>
      <c r="L40" s="56"/>
      <c r="M40" s="56"/>
      <c r="N40" s="56"/>
      <c r="O40" s="46"/>
      <c r="P40" s="60"/>
      <c r="Q40" s="60"/>
      <c r="R40" s="60"/>
      <c r="S40" s="60"/>
      <c r="T40" s="60"/>
    </row>
    <row r="41" spans="2:20" ht="30">
      <c r="B41" s="62" t="s">
        <v>3915</v>
      </c>
      <c r="C41" s="41" t="s">
        <v>2919</v>
      </c>
      <c r="D41" s="60"/>
      <c r="E41" s="60"/>
      <c r="F41" s="60"/>
      <c r="G41" s="60"/>
      <c r="H41" s="60"/>
      <c r="I41" s="60"/>
      <c r="J41" s="60"/>
      <c r="K41" s="60"/>
      <c r="L41" s="60"/>
      <c r="M41" s="60"/>
      <c r="N41" s="60"/>
      <c r="O41" s="60"/>
      <c r="P41" s="60"/>
      <c r="Q41" s="60"/>
      <c r="R41" s="60"/>
      <c r="S41" s="60"/>
      <c r="T41" s="60"/>
    </row>
    <row r="42" spans="2:20" ht="30">
      <c r="B42" s="72" t="s">
        <v>3916</v>
      </c>
      <c r="C42" s="41" t="s">
        <v>2921</v>
      </c>
      <c r="D42" s="60"/>
      <c r="E42" s="60"/>
      <c r="F42" s="60"/>
      <c r="G42" s="60"/>
      <c r="H42" s="60"/>
      <c r="I42" s="60"/>
      <c r="J42" s="60"/>
      <c r="K42" s="60"/>
      <c r="L42" s="60"/>
      <c r="M42" s="60"/>
      <c r="N42" s="60"/>
      <c r="O42" s="60"/>
      <c r="P42" s="60"/>
      <c r="Q42" s="60"/>
      <c r="R42" s="60"/>
      <c r="S42" s="60"/>
      <c r="T42" s="60"/>
    </row>
    <row r="43" spans="2:20">
      <c r="B43" s="72" t="s">
        <v>3757</v>
      </c>
      <c r="C43" s="41" t="s">
        <v>2923</v>
      </c>
      <c r="D43" s="60"/>
      <c r="E43" s="60"/>
      <c r="F43" s="60"/>
      <c r="G43" s="60"/>
      <c r="H43" s="60"/>
      <c r="I43" s="60"/>
      <c r="J43" s="60"/>
      <c r="K43" s="60"/>
      <c r="L43" s="60"/>
      <c r="M43" s="60"/>
      <c r="N43" s="60"/>
      <c r="O43" s="60"/>
      <c r="P43" s="60"/>
      <c r="Q43" s="60"/>
      <c r="R43" s="60"/>
      <c r="S43" s="60"/>
      <c r="T43" s="60"/>
    </row>
    <row r="44" spans="2:20">
      <c r="B44" s="72" t="s">
        <v>3917</v>
      </c>
      <c r="C44" s="41" t="s">
        <v>2925</v>
      </c>
      <c r="D44" s="60"/>
      <c r="E44" s="60"/>
      <c r="F44" s="60"/>
      <c r="G44" s="60"/>
      <c r="H44" s="60"/>
      <c r="I44" s="60"/>
      <c r="J44" s="60"/>
      <c r="K44" s="60"/>
      <c r="L44" s="60"/>
      <c r="M44" s="60"/>
      <c r="N44" s="60"/>
      <c r="O44" s="60"/>
      <c r="P44" s="60"/>
      <c r="Q44" s="60"/>
      <c r="R44" s="60"/>
      <c r="S44" s="60"/>
      <c r="T44" s="60"/>
    </row>
    <row r="45" spans="2:20" ht="30">
      <c r="B45" s="62" t="s">
        <v>3918</v>
      </c>
      <c r="C45" s="41" t="s">
        <v>2927</v>
      </c>
      <c r="D45" s="60"/>
      <c r="E45" s="60"/>
      <c r="F45" s="60"/>
      <c r="G45" s="60"/>
      <c r="H45" s="60"/>
      <c r="I45" s="60"/>
      <c r="J45" s="60"/>
      <c r="K45" s="60"/>
      <c r="L45" s="60"/>
      <c r="M45" s="60"/>
      <c r="N45" s="60"/>
      <c r="O45" s="60"/>
      <c r="P45" s="60"/>
      <c r="Q45" s="60"/>
      <c r="R45" s="60"/>
      <c r="S45" s="60"/>
      <c r="T45" s="60"/>
    </row>
    <row r="46" spans="2:20">
      <c r="B46" s="62" t="s">
        <v>3921</v>
      </c>
      <c r="C46" s="41" t="s">
        <v>2929</v>
      </c>
      <c r="D46" s="60"/>
      <c r="E46" s="60"/>
      <c r="F46" s="60"/>
      <c r="G46" s="60"/>
      <c r="H46" s="60"/>
      <c r="I46" s="60"/>
      <c r="J46" s="60"/>
      <c r="K46" s="60"/>
      <c r="L46" s="60"/>
      <c r="M46" s="60"/>
      <c r="N46" s="60"/>
      <c r="O46" s="60"/>
      <c r="P46" s="60"/>
      <c r="Q46" s="60"/>
      <c r="R46" s="60"/>
      <c r="S46" s="60"/>
      <c r="T46" s="60"/>
    </row>
    <row r="47" spans="2:20">
      <c r="B47" s="61" t="s">
        <v>3922</v>
      </c>
      <c r="C47" s="41" t="s">
        <v>2931</v>
      </c>
      <c r="D47" s="60"/>
      <c r="E47" s="60"/>
      <c r="F47" s="60"/>
      <c r="G47" s="60"/>
      <c r="H47" s="60"/>
      <c r="I47" s="60"/>
      <c r="J47" s="60"/>
      <c r="K47" s="60"/>
      <c r="L47" s="60"/>
      <c r="M47" s="60"/>
      <c r="N47" s="60"/>
      <c r="O47" s="60"/>
      <c r="P47" s="60"/>
      <c r="Q47" s="60"/>
      <c r="R47" s="60"/>
      <c r="S47" s="60"/>
      <c r="T47" s="60"/>
    </row>
    <row r="48" spans="2:20">
      <c r="B48" s="61" t="s">
        <v>3923</v>
      </c>
      <c r="C48" s="41" t="s">
        <v>2933</v>
      </c>
      <c r="D48" s="60"/>
      <c r="E48" s="60"/>
      <c r="F48" s="60"/>
      <c r="G48" s="60"/>
      <c r="H48" s="60"/>
      <c r="I48" s="60"/>
      <c r="J48" s="60"/>
      <c r="K48" s="60"/>
      <c r="L48" s="60"/>
      <c r="M48" s="60"/>
      <c r="N48" s="60"/>
      <c r="O48" s="60"/>
      <c r="P48" s="60"/>
      <c r="Q48" s="60"/>
      <c r="R48" s="60"/>
      <c r="S48" s="60"/>
      <c r="T48" s="60"/>
    </row>
    <row r="49" spans="2:20">
      <c r="B49" s="49" t="s">
        <v>3293</v>
      </c>
      <c r="C49" s="41" t="s">
        <v>2935</v>
      </c>
      <c r="D49" s="63"/>
      <c r="E49" s="63"/>
      <c r="F49" s="63"/>
      <c r="G49" s="63"/>
      <c r="H49" s="63"/>
      <c r="I49" s="63"/>
      <c r="J49" s="63"/>
      <c r="K49" s="63"/>
      <c r="L49" s="63"/>
      <c r="M49" s="63"/>
      <c r="N49" s="63"/>
      <c r="O49" s="63"/>
      <c r="P49" s="63"/>
      <c r="Q49" s="63"/>
      <c r="R49" s="63"/>
      <c r="S49" s="63"/>
      <c r="T49" s="63"/>
    </row>
    <row r="50" spans="2:20">
      <c r="B50" s="47" t="s">
        <v>3762</v>
      </c>
      <c r="C50" s="44" t="s">
        <v>2878</v>
      </c>
      <c r="D50" s="56"/>
      <c r="E50" s="66"/>
      <c r="F50" s="66"/>
      <c r="G50" s="66"/>
      <c r="H50" s="66"/>
      <c r="I50" s="66"/>
      <c r="J50" s="66"/>
      <c r="K50" s="66"/>
      <c r="L50" s="66"/>
      <c r="M50" s="66"/>
      <c r="N50" s="66"/>
      <c r="O50" s="66"/>
      <c r="P50" s="66"/>
      <c r="Q50" s="66"/>
      <c r="R50" s="66"/>
      <c r="S50" s="66"/>
      <c r="T50" s="57"/>
    </row>
    <row r="51" spans="2:20">
      <c r="B51" s="49" t="s">
        <v>3924</v>
      </c>
      <c r="C51" s="41" t="s">
        <v>2937</v>
      </c>
      <c r="D51" s="60"/>
      <c r="E51" s="60"/>
      <c r="F51" s="60"/>
      <c r="G51" s="60"/>
      <c r="H51" s="60"/>
      <c r="I51" s="60"/>
      <c r="J51" s="60"/>
      <c r="K51" s="60"/>
      <c r="L51" s="60"/>
      <c r="M51" s="60"/>
      <c r="N51" s="60"/>
      <c r="O51" s="60"/>
      <c r="P51" s="60"/>
      <c r="Q51" s="60"/>
      <c r="R51" s="60"/>
      <c r="S51" s="60"/>
      <c r="T51" s="60"/>
    </row>
    <row r="52" spans="2:20">
      <c r="B52" s="49" t="s">
        <v>3764</v>
      </c>
      <c r="C52" s="41" t="s">
        <v>2939</v>
      </c>
      <c r="D52" s="60"/>
      <c r="E52" s="60"/>
      <c r="F52" s="60"/>
      <c r="G52" s="60"/>
      <c r="H52" s="60"/>
      <c r="I52" s="60"/>
      <c r="J52" s="60"/>
      <c r="K52" s="60"/>
      <c r="L52" s="60"/>
      <c r="M52" s="60"/>
      <c r="N52" s="60"/>
      <c r="O52" s="60"/>
      <c r="P52" s="60"/>
      <c r="Q52" s="60"/>
      <c r="R52" s="60"/>
      <c r="S52" s="60"/>
      <c r="T52" s="60"/>
    </row>
    <row r="53" spans="2:20">
      <c r="B53" s="49" t="s">
        <v>3293</v>
      </c>
      <c r="C53" s="41" t="s">
        <v>2941</v>
      </c>
      <c r="D53" s="63"/>
      <c r="E53" s="63"/>
      <c r="F53" s="63"/>
      <c r="G53" s="63"/>
      <c r="H53" s="63"/>
      <c r="I53" s="63"/>
      <c r="J53" s="63"/>
      <c r="K53" s="63"/>
      <c r="L53" s="63"/>
      <c r="M53" s="63"/>
      <c r="N53" s="63"/>
      <c r="O53" s="63"/>
      <c r="P53" s="63"/>
      <c r="Q53" s="63"/>
      <c r="R53" s="63"/>
      <c r="S53" s="63"/>
      <c r="T53" s="63"/>
    </row>
    <row r="54" spans="2:20">
      <c r="B54" s="47" t="s">
        <v>3765</v>
      </c>
      <c r="C54" s="44" t="s">
        <v>2878</v>
      </c>
      <c r="D54" s="56"/>
      <c r="E54" s="66"/>
      <c r="F54" s="66"/>
      <c r="G54" s="66"/>
      <c r="H54" s="66"/>
      <c r="I54" s="66"/>
      <c r="J54" s="66"/>
      <c r="K54" s="66"/>
      <c r="L54" s="66"/>
      <c r="M54" s="66"/>
      <c r="N54" s="66"/>
      <c r="O54" s="66"/>
      <c r="P54" s="66"/>
      <c r="Q54" s="66"/>
      <c r="R54" s="66"/>
      <c r="S54" s="66"/>
      <c r="T54" s="57"/>
    </row>
    <row r="55" spans="2:20">
      <c r="B55" s="49" t="s">
        <v>3765</v>
      </c>
      <c r="C55" s="41" t="s">
        <v>2943</v>
      </c>
      <c r="D55" s="60"/>
      <c r="E55" s="60"/>
      <c r="F55" s="60"/>
      <c r="G55" s="60"/>
      <c r="H55" s="60"/>
      <c r="I55" s="60"/>
      <c r="J55" s="60"/>
      <c r="K55" s="60"/>
      <c r="L55" s="60"/>
      <c r="M55" s="60"/>
      <c r="N55" s="60"/>
      <c r="O55" s="60"/>
      <c r="P55" s="60"/>
      <c r="Q55" s="60"/>
      <c r="R55" s="60"/>
      <c r="S55" s="60"/>
      <c r="T55" s="60"/>
    </row>
    <row r="56" spans="2:20" ht="30">
      <c r="B56" s="49" t="s">
        <v>3925</v>
      </c>
      <c r="C56" s="41" t="s">
        <v>2945</v>
      </c>
      <c r="D56" s="60"/>
      <c r="E56" s="60"/>
      <c r="F56" s="60"/>
      <c r="G56" s="60"/>
      <c r="H56" s="60"/>
      <c r="I56" s="60"/>
      <c r="J56" s="60"/>
      <c r="K56" s="60"/>
      <c r="L56" s="60"/>
      <c r="M56" s="60"/>
      <c r="N56" s="60"/>
      <c r="O56" s="60"/>
      <c r="P56" s="60"/>
      <c r="Q56" s="60"/>
      <c r="R56" s="60"/>
      <c r="S56" s="60"/>
      <c r="T56" s="60"/>
    </row>
    <row r="57" spans="2:20">
      <c r="B57" s="49" t="s">
        <v>3926</v>
      </c>
      <c r="C57" s="41" t="s">
        <v>2947</v>
      </c>
      <c r="D57" s="63"/>
      <c r="E57" s="63"/>
      <c r="F57" s="63"/>
      <c r="G57" s="63"/>
      <c r="H57" s="63"/>
      <c r="I57" s="63"/>
      <c r="J57" s="63"/>
      <c r="K57" s="63"/>
      <c r="L57" s="63"/>
      <c r="M57" s="63"/>
      <c r="N57" s="63"/>
      <c r="O57" s="63"/>
      <c r="P57" s="63"/>
      <c r="Q57" s="63"/>
      <c r="R57" s="63"/>
      <c r="S57" s="63"/>
      <c r="T57" s="63"/>
    </row>
    <row r="58" spans="2:20">
      <c r="B58" s="47" t="s">
        <v>3927</v>
      </c>
      <c r="C58" s="44" t="s">
        <v>2878</v>
      </c>
      <c r="D58" s="56"/>
      <c r="E58" s="66"/>
      <c r="F58" s="66"/>
      <c r="G58" s="66"/>
      <c r="H58" s="66"/>
      <c r="I58" s="66"/>
      <c r="J58" s="66"/>
      <c r="K58" s="66"/>
      <c r="L58" s="66"/>
      <c r="M58" s="66"/>
      <c r="N58" s="66"/>
      <c r="O58" s="66"/>
      <c r="P58" s="66"/>
      <c r="Q58" s="66"/>
      <c r="R58" s="66"/>
      <c r="S58" s="66"/>
      <c r="T58" s="59"/>
    </row>
    <row r="59" spans="2:20">
      <c r="B59" s="49" t="s">
        <v>3928</v>
      </c>
      <c r="C59" s="41" t="s">
        <v>2949</v>
      </c>
      <c r="D59" s="50"/>
      <c r="E59" s="50"/>
      <c r="F59" s="50"/>
      <c r="G59" s="50"/>
      <c r="H59" s="50"/>
      <c r="I59" s="50"/>
      <c r="J59" s="50"/>
      <c r="K59" s="50"/>
      <c r="L59" s="50"/>
      <c r="M59" s="50"/>
      <c r="N59" s="50"/>
      <c r="O59" s="50"/>
      <c r="P59" s="50"/>
      <c r="Q59" s="50"/>
      <c r="R59" s="50"/>
      <c r="S59" s="73"/>
      <c r="T59" s="48"/>
    </row>
    <row r="60" spans="2:20">
      <c r="B60" s="49" t="s">
        <v>3929</v>
      </c>
      <c r="C60" s="41" t="s">
        <v>2951</v>
      </c>
      <c r="D60" s="74"/>
      <c r="E60" s="74"/>
      <c r="F60" s="74"/>
      <c r="G60" s="74"/>
      <c r="H60" s="74"/>
      <c r="I60" s="74"/>
      <c r="J60" s="74"/>
      <c r="K60" s="74"/>
      <c r="L60" s="74"/>
      <c r="M60" s="74"/>
      <c r="N60" s="74"/>
      <c r="O60" s="74"/>
      <c r="P60" s="74"/>
      <c r="Q60" s="74"/>
      <c r="R60" s="74"/>
      <c r="S60" s="75"/>
      <c r="T60" s="48"/>
    </row>
    <row r="61" spans="2:20">
      <c r="B61" s="47" t="s">
        <v>3930</v>
      </c>
      <c r="C61" s="44" t="s">
        <v>2878</v>
      </c>
      <c r="D61" s="58"/>
      <c r="E61" s="67"/>
      <c r="F61" s="67"/>
      <c r="G61" s="67"/>
      <c r="H61" s="67"/>
      <c r="I61" s="67"/>
      <c r="J61" s="67"/>
      <c r="K61" s="67"/>
      <c r="L61" s="67"/>
      <c r="M61" s="67"/>
      <c r="N61" s="67"/>
      <c r="O61" s="67"/>
      <c r="P61" s="67"/>
      <c r="Q61" s="67"/>
      <c r="R61" s="67"/>
      <c r="S61" s="67"/>
      <c r="T61" s="59"/>
    </row>
    <row r="62" spans="2:20">
      <c r="B62" s="49" t="s">
        <v>3769</v>
      </c>
      <c r="C62" s="44" t="s">
        <v>2878</v>
      </c>
      <c r="D62" s="56"/>
      <c r="E62" s="66"/>
      <c r="F62" s="66"/>
      <c r="G62" s="66"/>
      <c r="H62" s="66"/>
      <c r="I62" s="66"/>
      <c r="J62" s="66"/>
      <c r="K62" s="66"/>
      <c r="L62" s="66"/>
      <c r="M62" s="66"/>
      <c r="N62" s="66"/>
      <c r="O62" s="66"/>
      <c r="P62" s="66"/>
      <c r="Q62" s="66"/>
      <c r="R62" s="66"/>
      <c r="S62" s="66"/>
      <c r="T62" s="57"/>
    </row>
    <row r="63" spans="2:20">
      <c r="B63" s="61" t="s">
        <v>3931</v>
      </c>
      <c r="C63" s="41" t="s">
        <v>2953</v>
      </c>
      <c r="D63" s="60"/>
      <c r="E63" s="60"/>
      <c r="F63" s="60"/>
      <c r="G63" s="60"/>
      <c r="H63" s="60"/>
      <c r="I63" s="60"/>
      <c r="J63" s="60"/>
      <c r="K63" s="60"/>
      <c r="L63" s="60"/>
      <c r="M63" s="60"/>
      <c r="N63" s="60"/>
      <c r="O63" s="60"/>
      <c r="P63" s="60"/>
      <c r="Q63" s="60"/>
      <c r="R63" s="60"/>
      <c r="S63" s="60"/>
      <c r="T63" s="60"/>
    </row>
    <row r="64" spans="2:20">
      <c r="B64" s="61" t="s">
        <v>3932</v>
      </c>
      <c r="C64" s="41" t="s">
        <v>2955</v>
      </c>
      <c r="D64" s="63"/>
      <c r="E64" s="63"/>
      <c r="F64" s="63"/>
      <c r="G64" s="63"/>
      <c r="H64" s="63"/>
      <c r="I64" s="63"/>
      <c r="J64" s="63"/>
      <c r="K64" s="63"/>
      <c r="L64" s="63"/>
      <c r="M64" s="63"/>
      <c r="N64" s="63"/>
      <c r="O64" s="63"/>
      <c r="P64" s="63"/>
      <c r="Q64" s="63"/>
      <c r="R64" s="63"/>
      <c r="S64" s="63"/>
      <c r="T64" s="63"/>
    </row>
    <row r="65" spans="2:20">
      <c r="B65" s="49" t="s">
        <v>3774</v>
      </c>
      <c r="C65" s="44" t="s">
        <v>2878</v>
      </c>
      <c r="D65" s="56"/>
      <c r="E65" s="66"/>
      <c r="F65" s="66"/>
      <c r="G65" s="66"/>
      <c r="H65" s="66"/>
      <c r="I65" s="66"/>
      <c r="J65" s="66"/>
      <c r="K65" s="66"/>
      <c r="L65" s="66"/>
      <c r="M65" s="66"/>
      <c r="N65" s="66"/>
      <c r="O65" s="66"/>
      <c r="P65" s="66"/>
      <c r="Q65" s="66"/>
      <c r="R65" s="66"/>
      <c r="S65" s="66"/>
      <c r="T65" s="57"/>
    </row>
    <row r="66" spans="2:20">
      <c r="B66" s="61" t="s">
        <v>3775</v>
      </c>
      <c r="C66" s="41" t="s">
        <v>2957</v>
      </c>
      <c r="D66" s="60"/>
      <c r="E66" s="60"/>
      <c r="F66" s="60"/>
      <c r="G66" s="60"/>
      <c r="H66" s="60"/>
      <c r="I66" s="60"/>
      <c r="J66" s="60"/>
      <c r="K66" s="60"/>
      <c r="L66" s="60"/>
      <c r="M66" s="60"/>
      <c r="N66" s="60"/>
      <c r="O66" s="60"/>
      <c r="P66" s="60"/>
      <c r="Q66" s="60"/>
      <c r="R66" s="60"/>
      <c r="S66" s="60"/>
      <c r="T66" s="60"/>
    </row>
    <row r="67" spans="2:20">
      <c r="B67" s="61" t="s">
        <v>3933</v>
      </c>
      <c r="C67" s="41" t="s">
        <v>2959</v>
      </c>
      <c r="D67" s="63"/>
      <c r="E67" s="63"/>
      <c r="F67" s="63"/>
      <c r="G67" s="63"/>
      <c r="H67" s="63"/>
      <c r="I67" s="63"/>
      <c r="J67" s="63"/>
      <c r="K67" s="63"/>
      <c r="L67" s="63"/>
      <c r="M67" s="63"/>
      <c r="N67" s="63"/>
      <c r="O67" s="63"/>
      <c r="P67" s="63"/>
      <c r="Q67" s="63"/>
      <c r="R67" s="63"/>
      <c r="S67" s="63"/>
      <c r="T67" s="63"/>
    </row>
    <row r="68" spans="2:20">
      <c r="B68" s="47" t="s">
        <v>3934</v>
      </c>
      <c r="C68" s="44" t="s">
        <v>2878</v>
      </c>
      <c r="D68" s="58"/>
      <c r="E68" s="67"/>
      <c r="F68" s="67"/>
      <c r="G68" s="67"/>
      <c r="H68" s="67"/>
      <c r="I68" s="67"/>
      <c r="J68" s="67"/>
      <c r="K68" s="67"/>
      <c r="L68" s="67"/>
      <c r="M68" s="67"/>
      <c r="N68" s="67"/>
      <c r="O68" s="67"/>
      <c r="P68" s="67"/>
      <c r="Q68" s="67"/>
      <c r="R68" s="67"/>
      <c r="S68" s="67"/>
      <c r="T68" s="59"/>
    </row>
    <row r="69" spans="2:20">
      <c r="B69" s="49" t="s">
        <v>3769</v>
      </c>
      <c r="C69" s="44" t="s">
        <v>2878</v>
      </c>
      <c r="D69" s="56"/>
      <c r="E69" s="66"/>
      <c r="F69" s="66"/>
      <c r="G69" s="66"/>
      <c r="H69" s="66"/>
      <c r="I69" s="66"/>
      <c r="J69" s="66"/>
      <c r="K69" s="66"/>
      <c r="L69" s="66"/>
      <c r="M69" s="66"/>
      <c r="N69" s="66"/>
      <c r="O69" s="66"/>
      <c r="P69" s="66"/>
      <c r="Q69" s="66"/>
      <c r="R69" s="66"/>
      <c r="S69" s="66"/>
      <c r="T69" s="57"/>
    </row>
    <row r="70" spans="2:20">
      <c r="B70" s="61" t="s">
        <v>3931</v>
      </c>
      <c r="C70" s="41" t="s">
        <v>2961</v>
      </c>
      <c r="D70" s="60"/>
      <c r="E70" s="60"/>
      <c r="F70" s="60"/>
      <c r="G70" s="60"/>
      <c r="H70" s="60"/>
      <c r="I70" s="60"/>
      <c r="J70" s="60"/>
      <c r="K70" s="60"/>
      <c r="L70" s="60"/>
      <c r="M70" s="60"/>
      <c r="N70" s="60"/>
      <c r="O70" s="60"/>
      <c r="P70" s="60"/>
      <c r="Q70" s="60"/>
      <c r="R70" s="60"/>
      <c r="S70" s="60"/>
      <c r="T70" s="60"/>
    </row>
    <row r="71" spans="2:20">
      <c r="B71" s="61" t="s">
        <v>3932</v>
      </c>
      <c r="C71" s="41" t="s">
        <v>2963</v>
      </c>
      <c r="D71" s="63"/>
      <c r="E71" s="63"/>
      <c r="F71" s="63"/>
      <c r="G71" s="63"/>
      <c r="H71" s="63"/>
      <c r="I71" s="63"/>
      <c r="J71" s="63"/>
      <c r="K71" s="63"/>
      <c r="L71" s="63"/>
      <c r="M71" s="63"/>
      <c r="N71" s="63"/>
      <c r="O71" s="63"/>
      <c r="P71" s="63"/>
      <c r="Q71" s="63"/>
      <c r="R71" s="63"/>
      <c r="S71" s="63"/>
      <c r="T71" s="63"/>
    </row>
    <row r="72" spans="2:20">
      <c r="B72" s="49" t="s">
        <v>3774</v>
      </c>
      <c r="C72" s="44" t="s">
        <v>2878</v>
      </c>
      <c r="D72" s="56"/>
      <c r="E72" s="66"/>
      <c r="F72" s="66"/>
      <c r="G72" s="66"/>
      <c r="H72" s="66"/>
      <c r="I72" s="66"/>
      <c r="J72" s="66"/>
      <c r="K72" s="66"/>
      <c r="L72" s="66"/>
      <c r="M72" s="66"/>
      <c r="N72" s="66"/>
      <c r="O72" s="66"/>
      <c r="P72" s="66"/>
      <c r="Q72" s="66"/>
      <c r="R72" s="66"/>
      <c r="S72" s="66"/>
      <c r="T72" s="57"/>
    </row>
    <row r="73" spans="2:20">
      <c r="B73" s="61" t="s">
        <v>3775</v>
      </c>
      <c r="C73" s="41" t="s">
        <v>2965</v>
      </c>
      <c r="D73" s="60"/>
      <c r="E73" s="60"/>
      <c r="F73" s="60"/>
      <c r="G73" s="60"/>
      <c r="H73" s="60"/>
      <c r="I73" s="60"/>
      <c r="J73" s="60"/>
      <c r="K73" s="60"/>
      <c r="L73" s="60"/>
      <c r="M73" s="60"/>
      <c r="N73" s="60"/>
      <c r="O73" s="60"/>
      <c r="P73" s="60"/>
      <c r="Q73" s="60"/>
      <c r="R73" s="60"/>
      <c r="S73" s="60"/>
      <c r="T73" s="60"/>
    </row>
    <row r="74" spans="2:20">
      <c r="B74" s="61" t="s">
        <v>3933</v>
      </c>
      <c r="C74" s="41" t="s">
        <v>2967</v>
      </c>
      <c r="D74" s="60"/>
      <c r="E74" s="60"/>
      <c r="F74" s="60"/>
      <c r="G74" s="60"/>
      <c r="H74" s="60"/>
      <c r="I74" s="60"/>
      <c r="J74" s="60"/>
      <c r="K74" s="60"/>
      <c r="L74" s="60"/>
      <c r="M74" s="60"/>
      <c r="N74" s="60"/>
      <c r="O74" s="60"/>
      <c r="P74" s="60"/>
      <c r="Q74" s="60"/>
      <c r="R74" s="60"/>
      <c r="S74" s="60"/>
      <c r="T74" s="60"/>
    </row>
    <row r="75" spans="2:20">
      <c r="B75" s="47" t="s">
        <v>3777</v>
      </c>
      <c r="C75" s="41" t="s">
        <v>2969</v>
      </c>
      <c r="D75" s="70"/>
      <c r="E75" s="70"/>
      <c r="F75" s="70"/>
      <c r="G75" s="70"/>
      <c r="H75" s="70"/>
      <c r="I75" s="70"/>
      <c r="J75" s="70"/>
      <c r="K75" s="70"/>
      <c r="L75" s="70"/>
      <c r="M75" s="70"/>
      <c r="N75" s="70"/>
      <c r="O75" s="70"/>
      <c r="P75" s="70"/>
      <c r="Q75" s="70"/>
      <c r="R75" s="70"/>
      <c r="S75" s="70"/>
      <c r="T75" s="70"/>
    </row>
    <row r="76" spans="2:20">
      <c r="B76" s="47" t="s">
        <v>3779</v>
      </c>
      <c r="C76" s="41" t="s">
        <v>2971</v>
      </c>
      <c r="D76" s="60"/>
      <c r="E76" s="60"/>
      <c r="F76" s="60"/>
      <c r="G76" s="60"/>
      <c r="H76" s="60"/>
      <c r="I76" s="60"/>
      <c r="J76" s="60"/>
      <c r="K76" s="60"/>
      <c r="L76" s="60"/>
      <c r="M76" s="60"/>
      <c r="N76" s="60"/>
      <c r="O76" s="60"/>
      <c r="P76" s="60"/>
      <c r="Q76" s="60"/>
      <c r="R76" s="60"/>
      <c r="S76" s="60"/>
      <c r="T76" s="60"/>
    </row>
    <row r="77" spans="2:20">
      <c r="B77" s="47" t="s">
        <v>3780</v>
      </c>
      <c r="C77" s="41" t="s">
        <v>2973</v>
      </c>
      <c r="D77" s="60"/>
      <c r="E77" s="60"/>
      <c r="F77" s="60"/>
      <c r="G77" s="60"/>
      <c r="H77" s="60"/>
      <c r="I77" s="60"/>
      <c r="J77" s="60"/>
      <c r="K77" s="60"/>
      <c r="L77" s="60"/>
      <c r="M77" s="60"/>
      <c r="N77" s="60"/>
      <c r="O77" s="60"/>
      <c r="P77" s="60"/>
      <c r="Q77" s="60"/>
      <c r="R77" s="60"/>
      <c r="S77" s="60"/>
      <c r="T77" s="60"/>
    </row>
    <row r="78" spans="2:20">
      <c r="B78" s="47" t="s">
        <v>3781</v>
      </c>
      <c r="C78" s="41" t="s">
        <v>2975</v>
      </c>
      <c r="D78" s="60"/>
      <c r="E78" s="60"/>
      <c r="F78" s="60"/>
      <c r="G78" s="60"/>
      <c r="H78" s="60"/>
      <c r="I78" s="60"/>
      <c r="J78" s="60"/>
      <c r="K78" s="60"/>
      <c r="L78" s="60"/>
      <c r="M78" s="60"/>
      <c r="N78" s="60"/>
      <c r="O78" s="60"/>
      <c r="P78" s="60"/>
      <c r="Q78" s="60"/>
      <c r="R78" s="60"/>
      <c r="S78" s="60"/>
      <c r="T78" s="60"/>
    </row>
    <row r="79" spans="2:20" ht="30">
      <c r="B79" s="47" t="s">
        <v>3782</v>
      </c>
      <c r="C79" s="41" t="s">
        <v>3096</v>
      </c>
      <c r="D79" s="60"/>
      <c r="E79" s="60"/>
      <c r="F79" s="60"/>
      <c r="G79" s="60"/>
      <c r="H79" s="60"/>
      <c r="I79" s="60"/>
      <c r="J79" s="60"/>
      <c r="K79" s="60"/>
      <c r="L79" s="60"/>
      <c r="M79" s="60"/>
      <c r="N79" s="60"/>
      <c r="O79" s="60"/>
      <c r="P79" s="60"/>
      <c r="Q79" s="60"/>
      <c r="R79" s="60"/>
      <c r="S79" s="60"/>
      <c r="T79" s="60"/>
    </row>
    <row r="81" spans="27:28">
      <c r="AA81" s="13" t="str">
        <f>Show!$B$82&amp;Show!$B$82&amp;"S.17.01.01.01 Rows {"&amp;COLUMN($C$1)&amp;"}"</f>
        <v>!!S.17.01.01.01 Rows {3}</v>
      </c>
      <c r="AB81" s="13" t="str">
        <f>Show!$B$82&amp;Show!$B$82&amp;"S.17.01.01.01 Columns {"&amp;COLUMN($T$1)&amp;"}"</f>
        <v>!!S.17.01.01.01 Columns {20}</v>
      </c>
    </row>
  </sheetData>
  <sheetProtection sheet="1" objects="1" scenarios="1"/>
  <mergeCells count="22">
    <mergeCell ref="B2:O2"/>
    <mergeCell ref="B5:L5"/>
    <mergeCell ref="D9:T10"/>
    <mergeCell ref="D11:O11"/>
    <mergeCell ref="P11:S11"/>
    <mergeCell ref="T11:T15"/>
    <mergeCell ref="D12:D15"/>
    <mergeCell ref="E12:E15"/>
    <mergeCell ref="F12:F15"/>
    <mergeCell ref="G12:G15"/>
    <mergeCell ref="S12:S15"/>
    <mergeCell ref="H12:H15"/>
    <mergeCell ref="I12:I15"/>
    <mergeCell ref="J12:J15"/>
    <mergeCell ref="K12:K15"/>
    <mergeCell ref="L12:L15"/>
    <mergeCell ref="R12:R15"/>
    <mergeCell ref="M12:M15"/>
    <mergeCell ref="N12:N15"/>
    <mergeCell ref="O12:O15"/>
    <mergeCell ref="P12:P15"/>
    <mergeCell ref="Q12:Q15"/>
  </mergeCell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F9E51-4FE5-45C9-8611-F2A9BA4F98FF}">
  <sheetPr codeName="Blad87"/>
  <dimension ref="B2:AB41"/>
  <sheetViews>
    <sheetView showGridLines="0" workbookViewId="0">
      <selection activeCell="D17" sqref="D17"/>
    </sheetView>
  </sheetViews>
  <sheetFormatPr defaultRowHeight="15"/>
  <cols>
    <col min="2" max="2" width="85.140625" bestFit="1" customWidth="1"/>
    <col min="4" max="20" width="15.7109375" customWidth="1"/>
  </cols>
  <sheetData>
    <row r="2" spans="2:28" ht="23.25">
      <c r="B2" s="86" t="s">
        <v>634</v>
      </c>
      <c r="C2" s="87"/>
      <c r="D2" s="87"/>
      <c r="E2" s="87"/>
      <c r="F2" s="87"/>
      <c r="G2" s="87"/>
      <c r="H2" s="87"/>
      <c r="I2" s="87"/>
      <c r="J2" s="87"/>
      <c r="K2" s="87"/>
      <c r="L2" s="87"/>
      <c r="M2" s="87"/>
      <c r="N2" s="87"/>
      <c r="O2" s="87"/>
    </row>
    <row r="5" spans="2:28" ht="18.75">
      <c r="B5" s="88" t="s">
        <v>3935</v>
      </c>
      <c r="C5" s="87"/>
      <c r="D5" s="87"/>
      <c r="E5" s="87"/>
      <c r="F5" s="87"/>
      <c r="G5" s="87"/>
      <c r="H5" s="87"/>
      <c r="I5" s="87"/>
      <c r="J5" s="87"/>
      <c r="K5" s="87"/>
      <c r="L5" s="87"/>
    </row>
    <row r="9" spans="2:28">
      <c r="D9" s="92" t="s">
        <v>2877</v>
      </c>
      <c r="E9" s="93"/>
      <c r="F9" s="93"/>
      <c r="G9" s="93"/>
      <c r="H9" s="93"/>
      <c r="I9" s="93"/>
      <c r="J9" s="93"/>
      <c r="K9" s="93"/>
      <c r="L9" s="93"/>
      <c r="M9" s="93"/>
      <c r="N9" s="93"/>
      <c r="O9" s="93"/>
      <c r="P9" s="93"/>
      <c r="Q9" s="93"/>
      <c r="R9" s="93"/>
      <c r="S9" s="93"/>
      <c r="T9" s="94"/>
    </row>
    <row r="10" spans="2:28">
      <c r="D10" s="95"/>
      <c r="E10" s="96"/>
      <c r="F10" s="96"/>
      <c r="G10" s="96"/>
      <c r="H10" s="96"/>
      <c r="I10" s="96"/>
      <c r="J10" s="96"/>
      <c r="K10" s="96"/>
      <c r="L10" s="96"/>
      <c r="M10" s="96"/>
      <c r="N10" s="96"/>
      <c r="O10" s="96"/>
      <c r="P10" s="96"/>
      <c r="Q10" s="96"/>
      <c r="R10" s="96"/>
      <c r="S10" s="96"/>
      <c r="T10" s="97"/>
    </row>
    <row r="11" spans="2:28">
      <c r="D11" s="98" t="s">
        <v>3900</v>
      </c>
      <c r="E11" s="100"/>
      <c r="F11" s="100"/>
      <c r="G11" s="100"/>
      <c r="H11" s="100"/>
      <c r="I11" s="100"/>
      <c r="J11" s="100"/>
      <c r="K11" s="100"/>
      <c r="L11" s="100"/>
      <c r="M11" s="100"/>
      <c r="N11" s="100"/>
      <c r="O11" s="99"/>
      <c r="P11" s="98" t="s">
        <v>3909</v>
      </c>
      <c r="Q11" s="100"/>
      <c r="R11" s="100"/>
      <c r="S11" s="99"/>
      <c r="T11" s="89" t="s">
        <v>3906</v>
      </c>
    </row>
    <row r="12" spans="2:28">
      <c r="D12" s="89" t="s">
        <v>3460</v>
      </c>
      <c r="E12" s="89" t="s">
        <v>3461</v>
      </c>
      <c r="F12" s="89" t="s">
        <v>3462</v>
      </c>
      <c r="G12" s="89" t="s">
        <v>3463</v>
      </c>
      <c r="H12" s="89" t="s">
        <v>3464</v>
      </c>
      <c r="I12" s="89" t="s">
        <v>3465</v>
      </c>
      <c r="J12" s="89" t="s">
        <v>3466</v>
      </c>
      <c r="K12" s="89" t="s">
        <v>3467</v>
      </c>
      <c r="L12" s="89" t="s">
        <v>3468</v>
      </c>
      <c r="M12" s="89" t="s">
        <v>3469</v>
      </c>
      <c r="N12" s="89" t="s">
        <v>3470</v>
      </c>
      <c r="O12" s="89" t="s">
        <v>3471</v>
      </c>
      <c r="P12" s="89" t="s">
        <v>3902</v>
      </c>
      <c r="Q12" s="89" t="s">
        <v>3903</v>
      </c>
      <c r="R12" s="89" t="s">
        <v>3904</v>
      </c>
      <c r="S12" s="89" t="s">
        <v>3905</v>
      </c>
      <c r="T12" s="90"/>
    </row>
    <row r="13" spans="2:28">
      <c r="D13" s="90"/>
      <c r="E13" s="90"/>
      <c r="F13" s="90"/>
      <c r="G13" s="90"/>
      <c r="H13" s="90"/>
      <c r="I13" s="90"/>
      <c r="J13" s="90"/>
      <c r="K13" s="90"/>
      <c r="L13" s="90"/>
      <c r="M13" s="90"/>
      <c r="N13" s="90"/>
      <c r="O13" s="90"/>
      <c r="P13" s="90"/>
      <c r="Q13" s="90"/>
      <c r="R13" s="90"/>
      <c r="S13" s="90"/>
      <c r="T13" s="90"/>
    </row>
    <row r="14" spans="2:28">
      <c r="D14" s="91"/>
      <c r="E14" s="91"/>
      <c r="F14" s="91"/>
      <c r="G14" s="91"/>
      <c r="H14" s="91"/>
      <c r="I14" s="91"/>
      <c r="J14" s="91"/>
      <c r="K14" s="91"/>
      <c r="L14" s="91"/>
      <c r="M14" s="91"/>
      <c r="N14" s="91"/>
      <c r="O14" s="91"/>
      <c r="P14" s="91"/>
      <c r="Q14" s="91"/>
      <c r="R14" s="91"/>
      <c r="S14" s="91"/>
      <c r="T14" s="91"/>
    </row>
    <row r="15" spans="2:28">
      <c r="D15" s="45" t="s">
        <v>3219</v>
      </c>
      <c r="E15" s="45" t="s">
        <v>3225</v>
      </c>
      <c r="F15" s="45" t="s">
        <v>3223</v>
      </c>
      <c r="G15" s="45" t="s">
        <v>3229</v>
      </c>
      <c r="H15" s="45" t="s">
        <v>3231</v>
      </c>
      <c r="I15" s="45" t="s">
        <v>3233</v>
      </c>
      <c r="J15" s="45" t="s">
        <v>3234</v>
      </c>
      <c r="K15" s="45" t="s">
        <v>3236</v>
      </c>
      <c r="L15" s="45" t="s">
        <v>3239</v>
      </c>
      <c r="M15" s="45" t="s">
        <v>3241</v>
      </c>
      <c r="N15" s="45" t="s">
        <v>3243</v>
      </c>
      <c r="O15" s="45" t="s">
        <v>3375</v>
      </c>
      <c r="P15" s="45" t="s">
        <v>3475</v>
      </c>
      <c r="Q15" s="45" t="s">
        <v>3477</v>
      </c>
      <c r="R15" s="45" t="s">
        <v>3479</v>
      </c>
      <c r="S15" s="45" t="s">
        <v>3594</v>
      </c>
      <c r="T15" s="45" t="s">
        <v>3596</v>
      </c>
      <c r="AA15" s="13"/>
      <c r="AB15" s="13"/>
    </row>
    <row r="16" spans="2:28">
      <c r="B16" s="43" t="s">
        <v>2880</v>
      </c>
      <c r="C16" s="44" t="s">
        <v>2878</v>
      </c>
      <c r="D16" s="56"/>
      <c r="E16" s="66"/>
      <c r="F16" s="66"/>
      <c r="G16" s="66"/>
      <c r="H16" s="66"/>
      <c r="I16" s="66"/>
      <c r="J16" s="66"/>
      <c r="K16" s="66"/>
      <c r="L16" s="66"/>
      <c r="M16" s="66"/>
      <c r="N16" s="66"/>
      <c r="O16" s="66"/>
      <c r="P16" s="66"/>
      <c r="Q16" s="66"/>
      <c r="R16" s="66"/>
      <c r="S16" s="66"/>
      <c r="T16" s="57"/>
    </row>
    <row r="17" spans="2:20">
      <c r="B17" s="47" t="s">
        <v>3291</v>
      </c>
      <c r="C17" s="41" t="s">
        <v>2883</v>
      </c>
      <c r="D17" s="60">
        <v>0</v>
      </c>
      <c r="E17" s="60">
        <v>0</v>
      </c>
      <c r="F17" s="60">
        <v>0</v>
      </c>
      <c r="G17" s="60">
        <v>0</v>
      </c>
      <c r="H17" s="60">
        <v>0</v>
      </c>
      <c r="I17" s="60">
        <v>0</v>
      </c>
      <c r="J17" s="60">
        <v>0</v>
      </c>
      <c r="K17" s="60">
        <v>0</v>
      </c>
      <c r="L17" s="60">
        <v>0</v>
      </c>
      <c r="M17" s="60">
        <v>0</v>
      </c>
      <c r="N17" s="60">
        <v>0</v>
      </c>
      <c r="O17" s="60">
        <v>0</v>
      </c>
      <c r="P17" s="60">
        <v>0</v>
      </c>
      <c r="Q17" s="60">
        <v>0</v>
      </c>
      <c r="R17" s="60">
        <v>0</v>
      </c>
      <c r="S17" s="60">
        <v>0</v>
      </c>
      <c r="T17" s="60">
        <v>0</v>
      </c>
    </row>
    <row r="18" spans="2:20" ht="30">
      <c r="B18" s="47" t="s">
        <v>3752</v>
      </c>
      <c r="C18" s="41" t="s">
        <v>3078</v>
      </c>
      <c r="D18" s="60">
        <v>0</v>
      </c>
      <c r="E18" s="60">
        <v>0</v>
      </c>
      <c r="F18" s="60">
        <v>0</v>
      </c>
      <c r="G18" s="60">
        <v>0</v>
      </c>
      <c r="H18" s="60">
        <v>0</v>
      </c>
      <c r="I18" s="60">
        <v>0</v>
      </c>
      <c r="J18" s="60">
        <v>0</v>
      </c>
      <c r="K18" s="60">
        <v>0</v>
      </c>
      <c r="L18" s="60">
        <v>0</v>
      </c>
      <c r="M18" s="60">
        <v>0</v>
      </c>
      <c r="N18" s="60">
        <v>0</v>
      </c>
      <c r="O18" s="60">
        <v>0</v>
      </c>
      <c r="P18" s="60">
        <v>0</v>
      </c>
      <c r="Q18" s="60">
        <v>0</v>
      </c>
      <c r="R18" s="60">
        <v>0</v>
      </c>
      <c r="S18" s="60">
        <v>0</v>
      </c>
      <c r="T18" s="60">
        <v>0</v>
      </c>
    </row>
    <row r="19" spans="2:20">
      <c r="B19" s="47" t="s">
        <v>3753</v>
      </c>
      <c r="C19" s="44" t="s">
        <v>2878</v>
      </c>
      <c r="D19" s="58"/>
      <c r="E19" s="67"/>
      <c r="F19" s="67"/>
      <c r="G19" s="67"/>
      <c r="H19" s="67"/>
      <c r="I19" s="67"/>
      <c r="J19" s="67"/>
      <c r="K19" s="67"/>
      <c r="L19" s="67"/>
      <c r="M19" s="67"/>
      <c r="N19" s="67"/>
      <c r="O19" s="67"/>
      <c r="P19" s="67"/>
      <c r="Q19" s="67"/>
      <c r="R19" s="67"/>
      <c r="S19" s="67"/>
      <c r="T19" s="59"/>
    </row>
    <row r="20" spans="2:20">
      <c r="B20" s="49" t="s">
        <v>3764</v>
      </c>
      <c r="C20" s="44" t="s">
        <v>2878</v>
      </c>
      <c r="D20" s="58"/>
      <c r="E20" s="67"/>
      <c r="F20" s="67"/>
      <c r="G20" s="67"/>
      <c r="H20" s="67"/>
      <c r="I20" s="67"/>
      <c r="J20" s="67"/>
      <c r="K20" s="67"/>
      <c r="L20" s="67"/>
      <c r="M20" s="67"/>
      <c r="N20" s="67"/>
      <c r="O20" s="67"/>
      <c r="P20" s="67"/>
      <c r="Q20" s="67"/>
      <c r="R20" s="67"/>
      <c r="S20" s="67"/>
      <c r="T20" s="59"/>
    </row>
    <row r="21" spans="2:20">
      <c r="B21" s="61" t="s">
        <v>3910</v>
      </c>
      <c r="C21" s="44" t="s">
        <v>2878</v>
      </c>
      <c r="D21" s="56"/>
      <c r="E21" s="66"/>
      <c r="F21" s="66"/>
      <c r="G21" s="66"/>
      <c r="H21" s="66"/>
      <c r="I21" s="66"/>
      <c r="J21" s="66"/>
      <c r="K21" s="66"/>
      <c r="L21" s="66"/>
      <c r="M21" s="66"/>
      <c r="N21" s="66"/>
      <c r="O21" s="66"/>
      <c r="P21" s="66"/>
      <c r="Q21" s="66"/>
      <c r="R21" s="66"/>
      <c r="S21" s="66"/>
      <c r="T21" s="57"/>
    </row>
    <row r="22" spans="2:20">
      <c r="B22" s="62" t="s">
        <v>3520</v>
      </c>
      <c r="C22" s="41" t="s">
        <v>2891</v>
      </c>
      <c r="D22" s="60">
        <v>6469126.0982823214</v>
      </c>
      <c r="E22" s="60">
        <v>-2920318.1439024541</v>
      </c>
      <c r="F22" s="60">
        <v>-5158401.8154962333</v>
      </c>
      <c r="G22" s="60">
        <v>105699377.68258166</v>
      </c>
      <c r="H22" s="60">
        <v>37587813.833989769</v>
      </c>
      <c r="I22" s="60">
        <v>274694.75777868403</v>
      </c>
      <c r="J22" s="60">
        <v>78136260.275669679</v>
      </c>
      <c r="K22" s="60">
        <v>7619250.9471430369</v>
      </c>
      <c r="L22" s="60">
        <v>-17447.648455114053</v>
      </c>
      <c r="M22" s="60">
        <v>1830934.0826189942</v>
      </c>
      <c r="N22" s="60">
        <v>1681448.7439291792</v>
      </c>
      <c r="O22" s="60">
        <v>2534050.1903313561</v>
      </c>
      <c r="P22" s="60">
        <v>-28715.409314801302</v>
      </c>
      <c r="Q22" s="60">
        <v>-16629477.396994714</v>
      </c>
      <c r="R22" s="60">
        <v>-15746.584415589739</v>
      </c>
      <c r="S22" s="60">
        <v>-42249683.993765667</v>
      </c>
      <c r="T22" s="60">
        <v>174813165.6199801</v>
      </c>
    </row>
    <row r="23" spans="2:20" ht="30">
      <c r="B23" s="62" t="s">
        <v>3918</v>
      </c>
      <c r="C23" s="41" t="s">
        <v>2907</v>
      </c>
      <c r="D23" s="60">
        <v>0</v>
      </c>
      <c r="E23" s="60">
        <v>0</v>
      </c>
      <c r="F23" s="60">
        <v>0</v>
      </c>
      <c r="G23" s="60">
        <v>0</v>
      </c>
      <c r="H23" s="60">
        <v>0</v>
      </c>
      <c r="I23" s="60">
        <v>0</v>
      </c>
      <c r="J23" s="60">
        <v>-800531.20257601724</v>
      </c>
      <c r="K23" s="60">
        <v>0</v>
      </c>
      <c r="L23" s="60">
        <v>0</v>
      </c>
      <c r="M23" s="60">
        <v>0</v>
      </c>
      <c r="N23" s="60">
        <v>0</v>
      </c>
      <c r="O23" s="60">
        <v>0</v>
      </c>
      <c r="P23" s="60">
        <v>-67936.838269010725</v>
      </c>
      <c r="Q23" s="60">
        <v>-13424766.676534617</v>
      </c>
      <c r="R23" s="60">
        <v>-37147.461491004258</v>
      </c>
      <c r="S23" s="60">
        <v>-26182170.703286134</v>
      </c>
      <c r="T23" s="60">
        <v>-40512552.882156782</v>
      </c>
    </row>
    <row r="24" spans="2:20">
      <c r="B24" s="62" t="s">
        <v>3919</v>
      </c>
      <c r="C24" s="41" t="s">
        <v>2909</v>
      </c>
      <c r="D24" s="60">
        <v>6469126.0982823214</v>
      </c>
      <c r="E24" s="60">
        <v>-2920318.1439024541</v>
      </c>
      <c r="F24" s="60">
        <v>-5158401.8154962333</v>
      </c>
      <c r="G24" s="60">
        <v>105699377.68258166</v>
      </c>
      <c r="H24" s="60">
        <v>37587813.833989769</v>
      </c>
      <c r="I24" s="60">
        <v>274694.75777868403</v>
      </c>
      <c r="J24" s="60">
        <v>78936791.47824569</v>
      </c>
      <c r="K24" s="60">
        <v>7619250.9471430369</v>
      </c>
      <c r="L24" s="60">
        <v>-17447.648455114053</v>
      </c>
      <c r="M24" s="60">
        <v>1830934.0826189942</v>
      </c>
      <c r="N24" s="60">
        <v>1681448.7439291792</v>
      </c>
      <c r="O24" s="60">
        <v>2534050.1903313561</v>
      </c>
      <c r="P24" s="60">
        <v>39221.428954209419</v>
      </c>
      <c r="Q24" s="60">
        <v>-3204710.7204600964</v>
      </c>
      <c r="R24" s="60">
        <v>21400.877075414519</v>
      </c>
      <c r="S24" s="60">
        <v>-16067513.290479533</v>
      </c>
      <c r="T24" s="60">
        <v>215325718.50213689</v>
      </c>
    </row>
    <row r="25" spans="2:20">
      <c r="B25" s="61" t="s">
        <v>3920</v>
      </c>
      <c r="C25" s="44" t="s">
        <v>2878</v>
      </c>
      <c r="D25" s="56"/>
      <c r="E25" s="66"/>
      <c r="F25" s="66"/>
      <c r="G25" s="66"/>
      <c r="H25" s="66"/>
      <c r="I25" s="66"/>
      <c r="J25" s="66"/>
      <c r="K25" s="66"/>
      <c r="L25" s="66"/>
      <c r="M25" s="66"/>
      <c r="N25" s="66"/>
      <c r="O25" s="66"/>
      <c r="P25" s="66"/>
      <c r="Q25" s="66"/>
      <c r="R25" s="66"/>
      <c r="S25" s="66"/>
      <c r="T25" s="57"/>
    </row>
    <row r="26" spans="2:20">
      <c r="B26" s="62" t="s">
        <v>3520</v>
      </c>
      <c r="C26" s="41" t="s">
        <v>2911</v>
      </c>
      <c r="D26" s="60">
        <v>20121454.461143833</v>
      </c>
      <c r="E26" s="60">
        <v>11255411.421472242</v>
      </c>
      <c r="F26" s="60">
        <v>29815664.611910917</v>
      </c>
      <c r="G26" s="60">
        <v>491400771.97995251</v>
      </c>
      <c r="H26" s="60">
        <v>13933891.579243332</v>
      </c>
      <c r="I26" s="60">
        <v>2242138.5045208852</v>
      </c>
      <c r="J26" s="60">
        <v>198511463.80487165</v>
      </c>
      <c r="K26" s="60">
        <v>90494031.853809699</v>
      </c>
      <c r="L26" s="60">
        <v>40112.152883823779</v>
      </c>
      <c r="M26" s="60">
        <v>25989519.049495611</v>
      </c>
      <c r="N26" s="60">
        <v>139141.95586998435</v>
      </c>
      <c r="O26" s="60">
        <v>4679431.9754832564</v>
      </c>
      <c r="P26" s="60">
        <v>1981090.4278500236</v>
      </c>
      <c r="Q26" s="60">
        <v>113308219.50607488</v>
      </c>
      <c r="R26" s="60">
        <v>1864014.4194147186</v>
      </c>
      <c r="S26" s="60">
        <v>45815699.479095742</v>
      </c>
      <c r="T26" s="60">
        <v>1051592057.1830932</v>
      </c>
    </row>
    <row r="27" spans="2:20" ht="30">
      <c r="B27" s="62" t="s">
        <v>3918</v>
      </c>
      <c r="C27" s="41" t="s">
        <v>2927</v>
      </c>
      <c r="D27" s="60">
        <v>0</v>
      </c>
      <c r="E27" s="60">
        <v>0</v>
      </c>
      <c r="F27" s="60">
        <v>0</v>
      </c>
      <c r="G27" s="60">
        <v>0</v>
      </c>
      <c r="H27" s="60">
        <v>0</v>
      </c>
      <c r="I27" s="60">
        <v>0</v>
      </c>
      <c r="J27" s="60">
        <v>1807239.1158393817</v>
      </c>
      <c r="K27" s="60">
        <v>0</v>
      </c>
      <c r="L27" s="60">
        <v>0</v>
      </c>
      <c r="M27" s="60">
        <v>0</v>
      </c>
      <c r="N27" s="60">
        <v>0</v>
      </c>
      <c r="O27" s="60">
        <v>0</v>
      </c>
      <c r="P27" s="60">
        <v>520174.83495489886</v>
      </c>
      <c r="Q27" s="60">
        <v>68561497.898322105</v>
      </c>
      <c r="R27" s="60">
        <v>34329.018867916631</v>
      </c>
      <c r="S27" s="60">
        <v>31534469.571403451</v>
      </c>
      <c r="T27" s="60">
        <v>102457710.43938774</v>
      </c>
    </row>
    <row r="28" spans="2:20">
      <c r="B28" s="62" t="s">
        <v>3921</v>
      </c>
      <c r="C28" s="41" t="s">
        <v>2929</v>
      </c>
      <c r="D28" s="60">
        <v>20121454.461143833</v>
      </c>
      <c r="E28" s="60">
        <v>11255411.421472242</v>
      </c>
      <c r="F28" s="60">
        <v>29815664.611910917</v>
      </c>
      <c r="G28" s="60">
        <v>491400771.97995251</v>
      </c>
      <c r="H28" s="60">
        <v>13933891.579243332</v>
      </c>
      <c r="I28" s="60">
        <v>2242138.5045208852</v>
      </c>
      <c r="J28" s="60">
        <v>196704224.68903226</v>
      </c>
      <c r="K28" s="60">
        <v>90494031.853809699</v>
      </c>
      <c r="L28" s="60">
        <v>40112.152883823779</v>
      </c>
      <c r="M28" s="60">
        <v>25989519.049495611</v>
      </c>
      <c r="N28" s="60">
        <v>139141.95586998435</v>
      </c>
      <c r="O28" s="60">
        <v>4679431.9754832564</v>
      </c>
      <c r="P28" s="60">
        <v>1460915.5928951248</v>
      </c>
      <c r="Q28" s="60">
        <v>44746721.60775277</v>
      </c>
      <c r="R28" s="60">
        <v>1829685.400546802</v>
      </c>
      <c r="S28" s="60">
        <v>14281229.907692291</v>
      </c>
      <c r="T28" s="60">
        <v>949134346.74370551</v>
      </c>
    </row>
    <row r="29" spans="2:20">
      <c r="B29" s="49" t="s">
        <v>3922</v>
      </c>
      <c r="C29" s="41" t="s">
        <v>2931</v>
      </c>
      <c r="D29" s="60">
        <v>26590580.559426155</v>
      </c>
      <c r="E29" s="60">
        <v>8335093.2775697876</v>
      </c>
      <c r="F29" s="60">
        <v>24657262.796414685</v>
      </c>
      <c r="G29" s="60">
        <v>597100149.66253424</v>
      </c>
      <c r="H29" s="60">
        <v>51521705.413233101</v>
      </c>
      <c r="I29" s="60">
        <v>2516833.2622995693</v>
      </c>
      <c r="J29" s="60">
        <v>276647724.08054131</v>
      </c>
      <c r="K29" s="60">
        <v>98113282.800952733</v>
      </c>
      <c r="L29" s="60">
        <v>22664.504428709726</v>
      </c>
      <c r="M29" s="60">
        <v>27820453.132114604</v>
      </c>
      <c r="N29" s="60">
        <v>1820590.6997991635</v>
      </c>
      <c r="O29" s="60">
        <v>7213482.1658146121</v>
      </c>
      <c r="P29" s="60">
        <v>1952375.0185352224</v>
      </c>
      <c r="Q29" s="60">
        <v>96678742.109080166</v>
      </c>
      <c r="R29" s="60">
        <v>1848267.8349991289</v>
      </c>
      <c r="S29" s="60">
        <v>3566015.485330075</v>
      </c>
      <c r="T29" s="60">
        <v>1226405222.8030729</v>
      </c>
    </row>
    <row r="30" spans="2:20">
      <c r="B30" s="49" t="s">
        <v>3923</v>
      </c>
      <c r="C30" s="41" t="s">
        <v>2933</v>
      </c>
      <c r="D30" s="60">
        <v>26590580.559426155</v>
      </c>
      <c r="E30" s="60">
        <v>8335093.2775697876</v>
      </c>
      <c r="F30" s="60">
        <v>24657262.796414685</v>
      </c>
      <c r="G30" s="60">
        <v>597100149.66253424</v>
      </c>
      <c r="H30" s="60">
        <v>51521705.413233101</v>
      </c>
      <c r="I30" s="60">
        <v>2516833.2622995693</v>
      </c>
      <c r="J30" s="60">
        <v>275641016.16727793</v>
      </c>
      <c r="K30" s="60">
        <v>98113282.800952733</v>
      </c>
      <c r="L30" s="60">
        <v>22664.504428709726</v>
      </c>
      <c r="M30" s="60">
        <v>27820453.132114604</v>
      </c>
      <c r="N30" s="60">
        <v>1820590.6997991635</v>
      </c>
      <c r="O30" s="60">
        <v>7213482.1658146121</v>
      </c>
      <c r="P30" s="60">
        <v>1500137.0218493342</v>
      </c>
      <c r="Q30" s="60">
        <v>41542010.887292676</v>
      </c>
      <c r="R30" s="60">
        <v>1851086.2776222164</v>
      </c>
      <c r="S30" s="60">
        <v>-1786283.3827872425</v>
      </c>
      <c r="T30" s="60">
        <v>1164460065.2458422</v>
      </c>
    </row>
    <row r="31" spans="2:20">
      <c r="B31" s="49" t="s">
        <v>3293</v>
      </c>
      <c r="C31" s="41" t="s">
        <v>2935</v>
      </c>
      <c r="D31" s="60">
        <v>1489008.1372061812</v>
      </c>
      <c r="E31" s="60">
        <v>466745.04480776895</v>
      </c>
      <c r="F31" s="60">
        <v>1380747.0229181426</v>
      </c>
      <c r="G31" s="60">
        <v>33436162.839226451</v>
      </c>
      <c r="H31" s="60">
        <v>2885090.7723354888</v>
      </c>
      <c r="I31" s="60">
        <v>140936.56959388003</v>
      </c>
      <c r="J31" s="60">
        <v>15491602.801785015</v>
      </c>
      <c r="K31" s="60">
        <v>5494106.3107718257</v>
      </c>
      <c r="L31" s="60">
        <v>1269.1573786692309</v>
      </c>
      <c r="M31" s="60">
        <v>1557878.0238326548</v>
      </c>
      <c r="N31" s="60">
        <v>101948.67165327333</v>
      </c>
      <c r="O31" s="60">
        <v>403937.53789937642</v>
      </c>
      <c r="P31" s="60">
        <v>109328.27446095266</v>
      </c>
      <c r="Q31" s="60">
        <v>5413775.5049596746</v>
      </c>
      <c r="R31" s="60">
        <v>103498.52421986932</v>
      </c>
      <c r="S31" s="60">
        <v>199688.23407947135</v>
      </c>
      <c r="T31" s="60">
        <v>68675723.427128673</v>
      </c>
    </row>
    <row r="32" spans="2:20">
      <c r="B32" s="49" t="s">
        <v>3762</v>
      </c>
      <c r="C32" s="44" t="s">
        <v>2878</v>
      </c>
      <c r="D32" s="56"/>
      <c r="E32" s="66"/>
      <c r="F32" s="66"/>
      <c r="G32" s="66"/>
      <c r="H32" s="66"/>
      <c r="I32" s="66"/>
      <c r="J32" s="66"/>
      <c r="K32" s="66"/>
      <c r="L32" s="66"/>
      <c r="M32" s="66"/>
      <c r="N32" s="66"/>
      <c r="O32" s="66"/>
      <c r="P32" s="66"/>
      <c r="Q32" s="66"/>
      <c r="R32" s="66"/>
      <c r="S32" s="66"/>
      <c r="T32" s="57"/>
    </row>
    <row r="33" spans="2:28">
      <c r="B33" s="61" t="s">
        <v>3763</v>
      </c>
      <c r="C33" s="41" t="s">
        <v>2937</v>
      </c>
      <c r="D33" s="60">
        <v>0</v>
      </c>
      <c r="E33" s="60">
        <v>0</v>
      </c>
      <c r="F33" s="60">
        <v>0</v>
      </c>
      <c r="G33" s="60">
        <v>0</v>
      </c>
      <c r="H33" s="60">
        <v>0</v>
      </c>
      <c r="I33" s="60">
        <v>0</v>
      </c>
      <c r="J33" s="60">
        <v>0</v>
      </c>
      <c r="K33" s="60">
        <v>0</v>
      </c>
      <c r="L33" s="60">
        <v>0</v>
      </c>
      <c r="M33" s="60">
        <v>0</v>
      </c>
      <c r="N33" s="60">
        <v>0</v>
      </c>
      <c r="O33" s="60">
        <v>0</v>
      </c>
      <c r="P33" s="60">
        <v>0</v>
      </c>
      <c r="Q33" s="60">
        <v>0</v>
      </c>
      <c r="R33" s="60">
        <v>0</v>
      </c>
      <c r="S33" s="60">
        <v>0</v>
      </c>
      <c r="T33" s="60">
        <v>0</v>
      </c>
    </row>
    <row r="34" spans="2:28">
      <c r="B34" s="61" t="s">
        <v>3764</v>
      </c>
      <c r="C34" s="41" t="s">
        <v>2939</v>
      </c>
      <c r="D34" s="60">
        <v>0</v>
      </c>
      <c r="E34" s="60">
        <v>0</v>
      </c>
      <c r="F34" s="60">
        <v>0</v>
      </c>
      <c r="G34" s="60">
        <v>0</v>
      </c>
      <c r="H34" s="60">
        <v>0</v>
      </c>
      <c r="I34" s="60">
        <v>0</v>
      </c>
      <c r="J34" s="60">
        <v>0</v>
      </c>
      <c r="K34" s="60">
        <v>0</v>
      </c>
      <c r="L34" s="60">
        <v>0</v>
      </c>
      <c r="M34" s="60">
        <v>0</v>
      </c>
      <c r="N34" s="60">
        <v>0</v>
      </c>
      <c r="O34" s="60">
        <v>0</v>
      </c>
      <c r="P34" s="60">
        <v>0</v>
      </c>
      <c r="Q34" s="60">
        <v>0</v>
      </c>
      <c r="R34" s="60">
        <v>0</v>
      </c>
      <c r="S34" s="60">
        <v>0</v>
      </c>
      <c r="T34" s="60">
        <v>0</v>
      </c>
    </row>
    <row r="35" spans="2:28">
      <c r="B35" s="61" t="s">
        <v>3293</v>
      </c>
      <c r="C35" s="41" t="s">
        <v>2941</v>
      </c>
      <c r="D35" s="60">
        <v>0</v>
      </c>
      <c r="E35" s="60">
        <v>0</v>
      </c>
      <c r="F35" s="60">
        <v>0</v>
      </c>
      <c r="G35" s="60">
        <v>0</v>
      </c>
      <c r="H35" s="60">
        <v>0</v>
      </c>
      <c r="I35" s="60">
        <v>0</v>
      </c>
      <c r="J35" s="60">
        <v>0</v>
      </c>
      <c r="K35" s="60">
        <v>0</v>
      </c>
      <c r="L35" s="60">
        <v>0</v>
      </c>
      <c r="M35" s="60">
        <v>0</v>
      </c>
      <c r="N35" s="60">
        <v>0</v>
      </c>
      <c r="O35" s="60">
        <v>0</v>
      </c>
      <c r="P35" s="60">
        <v>0</v>
      </c>
      <c r="Q35" s="60">
        <v>0</v>
      </c>
      <c r="R35" s="60">
        <v>0</v>
      </c>
      <c r="S35" s="60">
        <v>0</v>
      </c>
      <c r="T35" s="60">
        <v>0</v>
      </c>
    </row>
    <row r="36" spans="2:28">
      <c r="B36" s="47" t="s">
        <v>3765</v>
      </c>
      <c r="C36" s="44" t="s">
        <v>2878</v>
      </c>
      <c r="D36" s="56"/>
      <c r="E36" s="66"/>
      <c r="F36" s="66"/>
      <c r="G36" s="66"/>
      <c r="H36" s="66"/>
      <c r="I36" s="66"/>
      <c r="J36" s="66"/>
      <c r="K36" s="66"/>
      <c r="L36" s="66"/>
      <c r="M36" s="66"/>
      <c r="N36" s="66"/>
      <c r="O36" s="66"/>
      <c r="P36" s="66"/>
      <c r="Q36" s="66"/>
      <c r="R36" s="66"/>
      <c r="S36" s="66"/>
      <c r="T36" s="57"/>
    </row>
    <row r="37" spans="2:28">
      <c r="B37" s="49" t="s">
        <v>3765</v>
      </c>
      <c r="C37" s="41" t="s">
        <v>2943</v>
      </c>
      <c r="D37" s="60">
        <v>28079588.696632337</v>
      </c>
      <c r="E37" s="60">
        <v>8801838.3223775569</v>
      </c>
      <c r="F37" s="60">
        <v>26038009.819332827</v>
      </c>
      <c r="G37" s="60">
        <v>630536312.50176072</v>
      </c>
      <c r="H37" s="60">
        <v>54406796.185568593</v>
      </c>
      <c r="I37" s="60">
        <v>2657769.8318934492</v>
      </c>
      <c r="J37" s="60">
        <v>292139326.8823263</v>
      </c>
      <c r="K37" s="60">
        <v>103607389.11172456</v>
      </c>
      <c r="L37" s="60">
        <v>23933.661807378958</v>
      </c>
      <c r="M37" s="60">
        <v>29378331.155947261</v>
      </c>
      <c r="N37" s="60">
        <v>1922539.3714524368</v>
      </c>
      <c r="O37" s="60">
        <v>7617419.7037139889</v>
      </c>
      <c r="P37" s="60">
        <v>2061703.2929961751</v>
      </c>
      <c r="Q37" s="60">
        <v>102092517.61403984</v>
      </c>
      <c r="R37" s="60">
        <v>1951766.3592189983</v>
      </c>
      <c r="S37" s="60">
        <v>3765703.7194095463</v>
      </c>
      <c r="T37" s="60">
        <f>SUM(D37:S37)</f>
        <v>1295080946.2302017</v>
      </c>
    </row>
    <row r="38" spans="2:28" ht="30">
      <c r="B38" s="49" t="s">
        <v>3925</v>
      </c>
      <c r="C38" s="41" t="s">
        <v>2945</v>
      </c>
      <c r="D38" s="60">
        <v>0</v>
      </c>
      <c r="E38" s="60">
        <v>0</v>
      </c>
      <c r="F38" s="60">
        <v>0</v>
      </c>
      <c r="G38" s="60">
        <v>0</v>
      </c>
      <c r="H38" s="60">
        <v>0</v>
      </c>
      <c r="I38" s="60">
        <v>0</v>
      </c>
      <c r="J38" s="60">
        <v>1006707.9132633645</v>
      </c>
      <c r="K38" s="60">
        <v>0</v>
      </c>
      <c r="L38" s="60">
        <v>0</v>
      </c>
      <c r="M38" s="60">
        <v>0</v>
      </c>
      <c r="N38" s="60">
        <v>0</v>
      </c>
      <c r="O38" s="60">
        <v>0</v>
      </c>
      <c r="P38" s="60">
        <v>452237.99668588815</v>
      </c>
      <c r="Q38" s="60">
        <v>55136731.22178749</v>
      </c>
      <c r="R38" s="60">
        <v>-2818.442623087627</v>
      </c>
      <c r="S38" s="60">
        <v>5352298.8681173176</v>
      </c>
      <c r="T38" s="60">
        <v>0</v>
      </c>
    </row>
    <row r="39" spans="2:28">
      <c r="B39" s="49" t="s">
        <v>3766</v>
      </c>
      <c r="C39" s="41" t="s">
        <v>2947</v>
      </c>
      <c r="D39" s="60">
        <v>28079588.696632337</v>
      </c>
      <c r="E39" s="60">
        <v>8801838.3223775569</v>
      </c>
      <c r="F39" s="60">
        <v>26038009.819332827</v>
      </c>
      <c r="G39" s="60">
        <v>630536312.50176072</v>
      </c>
      <c r="H39" s="60">
        <v>54406796.185568593</v>
      </c>
      <c r="I39" s="60">
        <v>2657769.8318934492</v>
      </c>
      <c r="J39" s="60">
        <v>291132618.96906292</v>
      </c>
      <c r="K39" s="60">
        <v>103607389.11172456</v>
      </c>
      <c r="L39" s="60">
        <v>23933.661807378958</v>
      </c>
      <c r="M39" s="60">
        <v>29378331.155947261</v>
      </c>
      <c r="N39" s="60">
        <v>1922539.3714524368</v>
      </c>
      <c r="O39" s="60">
        <v>7617419.7037139889</v>
      </c>
      <c r="P39" s="60">
        <v>1609465.296310287</v>
      </c>
      <c r="Q39" s="60">
        <v>46955786.392252348</v>
      </c>
      <c r="R39" s="60">
        <v>1954584.801842086</v>
      </c>
      <c r="S39" s="60">
        <v>-1586595.1487077712</v>
      </c>
      <c r="T39" s="60">
        <v>1233135788.6729703</v>
      </c>
    </row>
    <row r="41" spans="2:28">
      <c r="AA41" s="13"/>
      <c r="AB41" s="13"/>
    </row>
  </sheetData>
  <mergeCells count="22">
    <mergeCell ref="B2:O2"/>
    <mergeCell ref="B5:L5"/>
    <mergeCell ref="D9:T10"/>
    <mergeCell ref="D11:O11"/>
    <mergeCell ref="P11:S11"/>
    <mergeCell ref="T11:T14"/>
    <mergeCell ref="D12:D14"/>
    <mergeCell ref="E12:E14"/>
    <mergeCell ref="F12:F14"/>
    <mergeCell ref="G12:G14"/>
    <mergeCell ref="S12:S14"/>
    <mergeCell ref="H12:H14"/>
    <mergeCell ref="I12:I14"/>
    <mergeCell ref="J12:J14"/>
    <mergeCell ref="K12:K14"/>
    <mergeCell ref="L12:L14"/>
    <mergeCell ref="R12:R14"/>
    <mergeCell ref="M12:M14"/>
    <mergeCell ref="N12:N14"/>
    <mergeCell ref="O12:O14"/>
    <mergeCell ref="P12:P14"/>
    <mergeCell ref="Q12:Q14"/>
  </mergeCell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0F9AB-4C61-47DD-A215-24C83936AC3D}">
  <sheetPr codeName="Blad88"/>
  <dimension ref="B2:AB45"/>
  <sheetViews>
    <sheetView showGridLines="0" workbookViewId="0"/>
  </sheetViews>
  <sheetFormatPr defaultRowHeight="15"/>
  <cols>
    <col min="2" max="2" width="85.140625" bestFit="1" customWidth="1"/>
    <col min="4" max="20" width="15.7109375" customWidth="1"/>
  </cols>
  <sheetData>
    <row r="2" spans="2:28" ht="23.25">
      <c r="B2" s="86" t="s">
        <v>634</v>
      </c>
      <c r="C2" s="87"/>
      <c r="D2" s="87"/>
      <c r="E2" s="87"/>
      <c r="F2" s="87"/>
      <c r="G2" s="87"/>
      <c r="H2" s="87"/>
      <c r="I2" s="87"/>
      <c r="J2" s="87"/>
      <c r="K2" s="87"/>
      <c r="L2" s="87"/>
      <c r="M2" s="87"/>
      <c r="N2" s="87"/>
      <c r="O2" s="87"/>
    </row>
    <row r="5" spans="2:28" ht="18.75">
      <c r="B5" s="88" t="s">
        <v>3936</v>
      </c>
      <c r="C5" s="87"/>
      <c r="D5" s="87"/>
      <c r="E5" s="87"/>
      <c r="F5" s="87"/>
      <c r="G5" s="87"/>
      <c r="H5" s="87"/>
      <c r="I5" s="87"/>
      <c r="J5" s="87"/>
      <c r="K5" s="87"/>
      <c r="L5" s="87"/>
    </row>
    <row r="7" spans="2:28">
      <c r="B7" t="s">
        <v>3110</v>
      </c>
      <c r="AA7" s="13" t="str">
        <f>Show!$B$84&amp;"SR.17.01.01.01 Table label {"&amp;COLUMN($C$1)&amp;"}"</f>
        <v>!SR.17.01.01.01 Table label {3}</v>
      </c>
      <c r="AB7" s="13" t="str">
        <f>Show!$B$84&amp;"SR.17.01.01.01 Table value {"&amp;COLUMN($D$1)&amp;"}"</f>
        <v>!SR.17.01.01.01 Table value {4}</v>
      </c>
    </row>
    <row r="8" spans="2:28">
      <c r="B8" t="s">
        <v>3111</v>
      </c>
    </row>
    <row r="9" spans="2:28">
      <c r="B9" s="40" t="s">
        <v>3788</v>
      </c>
      <c r="C9" s="53" t="s">
        <v>3115</v>
      </c>
      <c r="D9" s="51"/>
    </row>
    <row r="10" spans="2:28">
      <c r="B10" s="40" t="s">
        <v>3114</v>
      </c>
      <c r="C10" s="53" t="s">
        <v>3323</v>
      </c>
      <c r="D10" s="50"/>
    </row>
    <row r="11" spans="2:28">
      <c r="AA11" s="13" t="str">
        <f>Show!$B$84&amp;Show!$B$84&amp;"SR.17.01.01.01 Table label {"&amp;COLUMN($C$1)&amp;"}"</f>
        <v>!!SR.17.01.01.01 Table label {3}</v>
      </c>
      <c r="AB11" s="13" t="str">
        <f>Show!$B$84&amp;Show!$B$84&amp;"SR.17.01.01.01 Table value {"&amp;COLUMN($D$1)&amp;"}"</f>
        <v>!!SR.17.01.01.01 Table value {4}</v>
      </c>
    </row>
    <row r="13" spans="2:28">
      <c r="D13" s="92" t="s">
        <v>2877</v>
      </c>
      <c r="E13" s="93"/>
      <c r="F13" s="93"/>
      <c r="G13" s="93"/>
      <c r="H13" s="93"/>
      <c r="I13" s="93"/>
      <c r="J13" s="93"/>
      <c r="K13" s="93"/>
      <c r="L13" s="93"/>
      <c r="M13" s="93"/>
      <c r="N13" s="93"/>
      <c r="O13" s="93"/>
      <c r="P13" s="93"/>
      <c r="Q13" s="93"/>
      <c r="R13" s="93"/>
      <c r="S13" s="93"/>
      <c r="T13" s="94"/>
    </row>
    <row r="14" spans="2:28">
      <c r="D14" s="95"/>
      <c r="E14" s="96"/>
      <c r="F14" s="96"/>
      <c r="G14" s="96"/>
      <c r="H14" s="96"/>
      <c r="I14" s="96"/>
      <c r="J14" s="96"/>
      <c r="K14" s="96"/>
      <c r="L14" s="96"/>
      <c r="M14" s="96"/>
      <c r="N14" s="96"/>
      <c r="O14" s="96"/>
      <c r="P14" s="96"/>
      <c r="Q14" s="96"/>
      <c r="R14" s="96"/>
      <c r="S14" s="96"/>
      <c r="T14" s="97"/>
    </row>
    <row r="15" spans="2:28">
      <c r="D15" s="98" t="s">
        <v>3900</v>
      </c>
      <c r="E15" s="100"/>
      <c r="F15" s="100"/>
      <c r="G15" s="100"/>
      <c r="H15" s="100"/>
      <c r="I15" s="100"/>
      <c r="J15" s="100"/>
      <c r="K15" s="100"/>
      <c r="L15" s="100"/>
      <c r="M15" s="100"/>
      <c r="N15" s="100"/>
      <c r="O15" s="99"/>
      <c r="P15" s="98" t="s">
        <v>3909</v>
      </c>
      <c r="Q15" s="100"/>
      <c r="R15" s="100"/>
      <c r="S15" s="99"/>
      <c r="T15" s="89" t="s">
        <v>3906</v>
      </c>
    </row>
    <row r="16" spans="2:28">
      <c r="D16" s="89" t="s">
        <v>3460</v>
      </c>
      <c r="E16" s="89" t="s">
        <v>3461</v>
      </c>
      <c r="F16" s="89" t="s">
        <v>3462</v>
      </c>
      <c r="G16" s="89" t="s">
        <v>3463</v>
      </c>
      <c r="H16" s="89" t="s">
        <v>3464</v>
      </c>
      <c r="I16" s="89" t="s">
        <v>3465</v>
      </c>
      <c r="J16" s="89" t="s">
        <v>3466</v>
      </c>
      <c r="K16" s="89" t="s">
        <v>3467</v>
      </c>
      <c r="L16" s="89" t="s">
        <v>3468</v>
      </c>
      <c r="M16" s="89" t="s">
        <v>3469</v>
      </c>
      <c r="N16" s="89" t="s">
        <v>3470</v>
      </c>
      <c r="O16" s="89" t="s">
        <v>3471</v>
      </c>
      <c r="P16" s="89" t="s">
        <v>3902</v>
      </c>
      <c r="Q16" s="89" t="s">
        <v>3903</v>
      </c>
      <c r="R16" s="89" t="s">
        <v>3904</v>
      </c>
      <c r="S16" s="89" t="s">
        <v>3905</v>
      </c>
      <c r="T16" s="90"/>
    </row>
    <row r="17" spans="2:28">
      <c r="D17" s="90"/>
      <c r="E17" s="90"/>
      <c r="F17" s="90"/>
      <c r="G17" s="90"/>
      <c r="H17" s="90"/>
      <c r="I17" s="90"/>
      <c r="J17" s="90"/>
      <c r="K17" s="90"/>
      <c r="L17" s="90"/>
      <c r="M17" s="90"/>
      <c r="N17" s="90"/>
      <c r="O17" s="90"/>
      <c r="P17" s="90"/>
      <c r="Q17" s="90"/>
      <c r="R17" s="90"/>
      <c r="S17" s="90"/>
      <c r="T17" s="90"/>
    </row>
    <row r="18" spans="2:28">
      <c r="D18" s="91"/>
      <c r="E18" s="91"/>
      <c r="F18" s="91"/>
      <c r="G18" s="91"/>
      <c r="H18" s="91"/>
      <c r="I18" s="91"/>
      <c r="J18" s="91"/>
      <c r="K18" s="91"/>
      <c r="L18" s="91"/>
      <c r="M18" s="91"/>
      <c r="N18" s="91"/>
      <c r="O18" s="91"/>
      <c r="P18" s="91"/>
      <c r="Q18" s="91"/>
      <c r="R18" s="91"/>
      <c r="S18" s="91"/>
      <c r="T18" s="91"/>
    </row>
    <row r="19" spans="2:28">
      <c r="D19" s="45" t="s">
        <v>3219</v>
      </c>
      <c r="E19" s="45" t="s">
        <v>3225</v>
      </c>
      <c r="F19" s="45" t="s">
        <v>3223</v>
      </c>
      <c r="G19" s="45" t="s">
        <v>3229</v>
      </c>
      <c r="H19" s="45" t="s">
        <v>3231</v>
      </c>
      <c r="I19" s="45" t="s">
        <v>3233</v>
      </c>
      <c r="J19" s="45" t="s">
        <v>3234</v>
      </c>
      <c r="K19" s="45" t="s">
        <v>3236</v>
      </c>
      <c r="L19" s="45" t="s">
        <v>3239</v>
      </c>
      <c r="M19" s="45" t="s">
        <v>3241</v>
      </c>
      <c r="N19" s="45" t="s">
        <v>3243</v>
      </c>
      <c r="O19" s="45" t="s">
        <v>3375</v>
      </c>
      <c r="P19" s="45" t="s">
        <v>3475</v>
      </c>
      <c r="Q19" s="45" t="s">
        <v>3477</v>
      </c>
      <c r="R19" s="45" t="s">
        <v>3479</v>
      </c>
      <c r="S19" s="45" t="s">
        <v>3594</v>
      </c>
      <c r="T19" s="45" t="s">
        <v>3596</v>
      </c>
      <c r="AA19" s="13" t="str">
        <f>Show!$B$84&amp;"SR.17.01.01.01 Rows {"&amp;COLUMN($C$1)&amp;"}"&amp;"@ForceFilingCode:true"</f>
        <v>!SR.17.01.01.01 Rows {3}@ForceFilingCode:true</v>
      </c>
      <c r="AB19" s="13" t="str">
        <f>Show!$B$84&amp;"SR.17.01.01.01 Columns {"&amp;COLUMN($D$1)&amp;"}"</f>
        <v>!SR.17.01.01.01 Columns {4}</v>
      </c>
    </row>
    <row r="20" spans="2:28">
      <c r="B20" s="43" t="s">
        <v>2880</v>
      </c>
      <c r="C20" s="44" t="s">
        <v>2878</v>
      </c>
      <c r="D20" s="56"/>
      <c r="E20" s="66"/>
      <c r="F20" s="66"/>
      <c r="G20" s="66"/>
      <c r="H20" s="66"/>
      <c r="I20" s="66"/>
      <c r="J20" s="66"/>
      <c r="K20" s="66"/>
      <c r="L20" s="66"/>
      <c r="M20" s="66"/>
      <c r="N20" s="66"/>
      <c r="O20" s="66"/>
      <c r="P20" s="66"/>
      <c r="Q20" s="66"/>
      <c r="R20" s="66"/>
      <c r="S20" s="66"/>
      <c r="T20" s="57"/>
    </row>
    <row r="21" spans="2:28">
      <c r="B21" s="47" t="s">
        <v>3291</v>
      </c>
      <c r="C21" s="41" t="s">
        <v>2883</v>
      </c>
      <c r="D21" s="60"/>
      <c r="E21" s="60"/>
      <c r="F21" s="60"/>
      <c r="G21" s="60"/>
      <c r="H21" s="60"/>
      <c r="I21" s="60"/>
      <c r="J21" s="60"/>
      <c r="K21" s="60"/>
      <c r="L21" s="60"/>
      <c r="M21" s="60"/>
      <c r="N21" s="60"/>
      <c r="O21" s="60"/>
      <c r="P21" s="60"/>
      <c r="Q21" s="60"/>
      <c r="R21" s="60"/>
      <c r="S21" s="60"/>
      <c r="T21" s="60"/>
    </row>
    <row r="22" spans="2:28" ht="30">
      <c r="B22" s="47" t="s">
        <v>3752</v>
      </c>
      <c r="C22" s="41" t="s">
        <v>3078</v>
      </c>
      <c r="D22" s="63"/>
      <c r="E22" s="63"/>
      <c r="F22" s="63"/>
      <c r="G22" s="63"/>
      <c r="H22" s="63"/>
      <c r="I22" s="63"/>
      <c r="J22" s="63"/>
      <c r="K22" s="63"/>
      <c r="L22" s="63"/>
      <c r="M22" s="63"/>
      <c r="N22" s="63"/>
      <c r="O22" s="63"/>
      <c r="P22" s="63"/>
      <c r="Q22" s="63"/>
      <c r="R22" s="63"/>
      <c r="S22" s="63"/>
      <c r="T22" s="63"/>
    </row>
    <row r="23" spans="2:28">
      <c r="B23" s="47" t="s">
        <v>3753</v>
      </c>
      <c r="C23" s="44" t="s">
        <v>2878</v>
      </c>
      <c r="D23" s="58"/>
      <c r="E23" s="67"/>
      <c r="F23" s="67"/>
      <c r="G23" s="67"/>
      <c r="H23" s="67"/>
      <c r="I23" s="67"/>
      <c r="J23" s="67"/>
      <c r="K23" s="67"/>
      <c r="L23" s="67"/>
      <c r="M23" s="67"/>
      <c r="N23" s="67"/>
      <c r="O23" s="67"/>
      <c r="P23" s="67"/>
      <c r="Q23" s="67"/>
      <c r="R23" s="67"/>
      <c r="S23" s="67"/>
      <c r="T23" s="59"/>
    </row>
    <row r="24" spans="2:28">
      <c r="B24" s="49" t="s">
        <v>3764</v>
      </c>
      <c r="C24" s="44" t="s">
        <v>2878</v>
      </c>
      <c r="D24" s="58"/>
      <c r="E24" s="67"/>
      <c r="F24" s="67"/>
      <c r="G24" s="67"/>
      <c r="H24" s="67"/>
      <c r="I24" s="67"/>
      <c r="J24" s="67"/>
      <c r="K24" s="67"/>
      <c r="L24" s="67"/>
      <c r="M24" s="67"/>
      <c r="N24" s="67"/>
      <c r="O24" s="67"/>
      <c r="P24" s="67"/>
      <c r="Q24" s="67"/>
      <c r="R24" s="67"/>
      <c r="S24" s="67"/>
      <c r="T24" s="59"/>
    </row>
    <row r="25" spans="2:28">
      <c r="B25" s="61" t="s">
        <v>3910</v>
      </c>
      <c r="C25" s="44" t="s">
        <v>2878</v>
      </c>
      <c r="D25" s="56"/>
      <c r="E25" s="66"/>
      <c r="F25" s="66"/>
      <c r="G25" s="66"/>
      <c r="H25" s="66"/>
      <c r="I25" s="66"/>
      <c r="J25" s="66"/>
      <c r="K25" s="66"/>
      <c r="L25" s="66"/>
      <c r="M25" s="66"/>
      <c r="N25" s="66"/>
      <c r="O25" s="66"/>
      <c r="P25" s="66"/>
      <c r="Q25" s="66"/>
      <c r="R25" s="66"/>
      <c r="S25" s="66"/>
      <c r="T25" s="57"/>
    </row>
    <row r="26" spans="2:28">
      <c r="B26" s="62" t="s">
        <v>3520</v>
      </c>
      <c r="C26" s="41" t="s">
        <v>2891</v>
      </c>
      <c r="D26" s="60"/>
      <c r="E26" s="60"/>
      <c r="F26" s="60"/>
      <c r="G26" s="60"/>
      <c r="H26" s="60"/>
      <c r="I26" s="60"/>
      <c r="J26" s="60"/>
      <c r="K26" s="60"/>
      <c r="L26" s="60"/>
      <c r="M26" s="60"/>
      <c r="N26" s="60"/>
      <c r="O26" s="60"/>
      <c r="P26" s="60"/>
      <c r="Q26" s="60"/>
      <c r="R26" s="60"/>
      <c r="S26" s="60"/>
      <c r="T26" s="60"/>
    </row>
    <row r="27" spans="2:28" ht="30">
      <c r="B27" s="62" t="s">
        <v>3918</v>
      </c>
      <c r="C27" s="41" t="s">
        <v>2907</v>
      </c>
      <c r="D27" s="60"/>
      <c r="E27" s="60"/>
      <c r="F27" s="60"/>
      <c r="G27" s="60"/>
      <c r="H27" s="60"/>
      <c r="I27" s="60"/>
      <c r="J27" s="60"/>
      <c r="K27" s="60"/>
      <c r="L27" s="60"/>
      <c r="M27" s="60"/>
      <c r="N27" s="60"/>
      <c r="O27" s="60"/>
      <c r="P27" s="60"/>
      <c r="Q27" s="60"/>
      <c r="R27" s="60"/>
      <c r="S27" s="60"/>
      <c r="T27" s="60"/>
    </row>
    <row r="28" spans="2:28">
      <c r="B28" s="62" t="s">
        <v>3919</v>
      </c>
      <c r="C28" s="41" t="s">
        <v>2909</v>
      </c>
      <c r="D28" s="63"/>
      <c r="E28" s="63"/>
      <c r="F28" s="63"/>
      <c r="G28" s="63"/>
      <c r="H28" s="63"/>
      <c r="I28" s="63"/>
      <c r="J28" s="63"/>
      <c r="K28" s="63"/>
      <c r="L28" s="63"/>
      <c r="M28" s="63"/>
      <c r="N28" s="63"/>
      <c r="O28" s="63"/>
      <c r="P28" s="63"/>
      <c r="Q28" s="63"/>
      <c r="R28" s="63"/>
      <c r="S28" s="63"/>
      <c r="T28" s="63"/>
    </row>
    <row r="29" spans="2:28">
      <c r="B29" s="61" t="s">
        <v>3920</v>
      </c>
      <c r="C29" s="44" t="s">
        <v>2878</v>
      </c>
      <c r="D29" s="56"/>
      <c r="E29" s="66"/>
      <c r="F29" s="66"/>
      <c r="G29" s="66"/>
      <c r="H29" s="66"/>
      <c r="I29" s="66"/>
      <c r="J29" s="66"/>
      <c r="K29" s="66"/>
      <c r="L29" s="66"/>
      <c r="M29" s="66"/>
      <c r="N29" s="66"/>
      <c r="O29" s="66"/>
      <c r="P29" s="66"/>
      <c r="Q29" s="66"/>
      <c r="R29" s="66"/>
      <c r="S29" s="66"/>
      <c r="T29" s="57"/>
    </row>
    <row r="30" spans="2:28">
      <c r="B30" s="62" t="s">
        <v>3520</v>
      </c>
      <c r="C30" s="41" t="s">
        <v>2911</v>
      </c>
      <c r="D30" s="60"/>
      <c r="E30" s="60"/>
      <c r="F30" s="60"/>
      <c r="G30" s="60"/>
      <c r="H30" s="60"/>
      <c r="I30" s="60"/>
      <c r="J30" s="60"/>
      <c r="K30" s="60"/>
      <c r="L30" s="60"/>
      <c r="M30" s="60"/>
      <c r="N30" s="60"/>
      <c r="O30" s="60"/>
      <c r="P30" s="60"/>
      <c r="Q30" s="60"/>
      <c r="R30" s="60"/>
      <c r="S30" s="60"/>
      <c r="T30" s="60"/>
    </row>
    <row r="31" spans="2:28" ht="30">
      <c r="B31" s="62" t="s">
        <v>3918</v>
      </c>
      <c r="C31" s="41" t="s">
        <v>2927</v>
      </c>
      <c r="D31" s="60"/>
      <c r="E31" s="60"/>
      <c r="F31" s="60"/>
      <c r="G31" s="60"/>
      <c r="H31" s="60"/>
      <c r="I31" s="60"/>
      <c r="J31" s="60"/>
      <c r="K31" s="60"/>
      <c r="L31" s="60"/>
      <c r="M31" s="60"/>
      <c r="N31" s="60"/>
      <c r="O31" s="60"/>
      <c r="P31" s="60"/>
      <c r="Q31" s="60"/>
      <c r="R31" s="60"/>
      <c r="S31" s="60"/>
      <c r="T31" s="60"/>
    </row>
    <row r="32" spans="2:28">
      <c r="B32" s="62" t="s">
        <v>3921</v>
      </c>
      <c r="C32" s="41" t="s">
        <v>2929</v>
      </c>
      <c r="D32" s="60"/>
      <c r="E32" s="60"/>
      <c r="F32" s="60"/>
      <c r="G32" s="60"/>
      <c r="H32" s="60"/>
      <c r="I32" s="60"/>
      <c r="J32" s="60"/>
      <c r="K32" s="60"/>
      <c r="L32" s="60"/>
      <c r="M32" s="60"/>
      <c r="N32" s="60"/>
      <c r="O32" s="60"/>
      <c r="P32" s="60"/>
      <c r="Q32" s="60"/>
      <c r="R32" s="60"/>
      <c r="S32" s="60"/>
      <c r="T32" s="60"/>
    </row>
    <row r="33" spans="2:28">
      <c r="B33" s="49" t="s">
        <v>3922</v>
      </c>
      <c r="C33" s="41" t="s">
        <v>2931</v>
      </c>
      <c r="D33" s="60"/>
      <c r="E33" s="60"/>
      <c r="F33" s="60"/>
      <c r="G33" s="60"/>
      <c r="H33" s="60"/>
      <c r="I33" s="60"/>
      <c r="J33" s="60"/>
      <c r="K33" s="60"/>
      <c r="L33" s="60"/>
      <c r="M33" s="60"/>
      <c r="N33" s="60"/>
      <c r="O33" s="60"/>
      <c r="P33" s="60"/>
      <c r="Q33" s="60"/>
      <c r="R33" s="60"/>
      <c r="S33" s="60"/>
      <c r="T33" s="60"/>
    </row>
    <row r="34" spans="2:28">
      <c r="B34" s="49" t="s">
        <v>3923</v>
      </c>
      <c r="C34" s="41" t="s">
        <v>2933</v>
      </c>
      <c r="D34" s="60"/>
      <c r="E34" s="60"/>
      <c r="F34" s="60"/>
      <c r="G34" s="60"/>
      <c r="H34" s="60"/>
      <c r="I34" s="60"/>
      <c r="J34" s="60"/>
      <c r="K34" s="60"/>
      <c r="L34" s="60"/>
      <c r="M34" s="60"/>
      <c r="N34" s="60"/>
      <c r="O34" s="60"/>
      <c r="P34" s="60"/>
      <c r="Q34" s="60"/>
      <c r="R34" s="60"/>
      <c r="S34" s="60"/>
      <c r="T34" s="60"/>
    </row>
    <row r="35" spans="2:28">
      <c r="B35" s="49" t="s">
        <v>3293</v>
      </c>
      <c r="C35" s="41" t="s">
        <v>2935</v>
      </c>
      <c r="D35" s="63"/>
      <c r="E35" s="63"/>
      <c r="F35" s="63"/>
      <c r="G35" s="63"/>
      <c r="H35" s="63"/>
      <c r="I35" s="63"/>
      <c r="J35" s="63"/>
      <c r="K35" s="63"/>
      <c r="L35" s="63"/>
      <c r="M35" s="63"/>
      <c r="N35" s="63"/>
      <c r="O35" s="63"/>
      <c r="P35" s="63"/>
      <c r="Q35" s="63"/>
      <c r="R35" s="63"/>
      <c r="S35" s="63"/>
      <c r="T35" s="63"/>
    </row>
    <row r="36" spans="2:28">
      <c r="B36" s="49" t="s">
        <v>3762</v>
      </c>
      <c r="C36" s="44" t="s">
        <v>2878</v>
      </c>
      <c r="D36" s="56"/>
      <c r="E36" s="66"/>
      <c r="F36" s="66"/>
      <c r="G36" s="66"/>
      <c r="H36" s="66"/>
      <c r="I36" s="66"/>
      <c r="J36" s="66"/>
      <c r="K36" s="66"/>
      <c r="L36" s="66"/>
      <c r="M36" s="66"/>
      <c r="N36" s="66"/>
      <c r="O36" s="66"/>
      <c r="P36" s="66"/>
      <c r="Q36" s="66"/>
      <c r="R36" s="66"/>
      <c r="S36" s="66"/>
      <c r="T36" s="57"/>
    </row>
    <row r="37" spans="2:28">
      <c r="B37" s="61" t="s">
        <v>3763</v>
      </c>
      <c r="C37" s="41" t="s">
        <v>2937</v>
      </c>
      <c r="D37" s="60"/>
      <c r="E37" s="60"/>
      <c r="F37" s="60"/>
      <c r="G37" s="60"/>
      <c r="H37" s="60"/>
      <c r="I37" s="60"/>
      <c r="J37" s="60"/>
      <c r="K37" s="60"/>
      <c r="L37" s="60"/>
      <c r="M37" s="60"/>
      <c r="N37" s="60"/>
      <c r="O37" s="60"/>
      <c r="P37" s="60"/>
      <c r="Q37" s="60"/>
      <c r="R37" s="60"/>
      <c r="S37" s="60"/>
      <c r="T37" s="60"/>
    </row>
    <row r="38" spans="2:28">
      <c r="B38" s="61" t="s">
        <v>3764</v>
      </c>
      <c r="C38" s="41" t="s">
        <v>2939</v>
      </c>
      <c r="D38" s="60"/>
      <c r="E38" s="60"/>
      <c r="F38" s="60"/>
      <c r="G38" s="60"/>
      <c r="H38" s="60"/>
      <c r="I38" s="60"/>
      <c r="J38" s="60"/>
      <c r="K38" s="60"/>
      <c r="L38" s="60"/>
      <c r="M38" s="60"/>
      <c r="N38" s="60"/>
      <c r="O38" s="60"/>
      <c r="P38" s="60"/>
      <c r="Q38" s="60"/>
      <c r="R38" s="60"/>
      <c r="S38" s="60"/>
      <c r="T38" s="60"/>
    </row>
    <row r="39" spans="2:28">
      <c r="B39" s="61" t="s">
        <v>3293</v>
      </c>
      <c r="C39" s="41" t="s">
        <v>2941</v>
      </c>
      <c r="D39" s="63"/>
      <c r="E39" s="63"/>
      <c r="F39" s="63"/>
      <c r="G39" s="63"/>
      <c r="H39" s="63"/>
      <c r="I39" s="63"/>
      <c r="J39" s="63"/>
      <c r="K39" s="63"/>
      <c r="L39" s="63"/>
      <c r="M39" s="63"/>
      <c r="N39" s="63"/>
      <c r="O39" s="63"/>
      <c r="P39" s="63"/>
      <c r="Q39" s="63"/>
      <c r="R39" s="63"/>
      <c r="S39" s="63"/>
      <c r="T39" s="63"/>
    </row>
    <row r="40" spans="2:28">
      <c r="B40" s="47" t="s">
        <v>3765</v>
      </c>
      <c r="C40" s="44" t="s">
        <v>2878</v>
      </c>
      <c r="D40" s="56"/>
      <c r="E40" s="66"/>
      <c r="F40" s="66"/>
      <c r="G40" s="66"/>
      <c r="H40" s="66"/>
      <c r="I40" s="66"/>
      <c r="J40" s="66"/>
      <c r="K40" s="66"/>
      <c r="L40" s="66"/>
      <c r="M40" s="66"/>
      <c r="N40" s="66"/>
      <c r="O40" s="66"/>
      <c r="P40" s="66"/>
      <c r="Q40" s="66"/>
      <c r="R40" s="66"/>
      <c r="S40" s="66"/>
      <c r="T40" s="57"/>
    </row>
    <row r="41" spans="2:28">
      <c r="B41" s="49" t="s">
        <v>3765</v>
      </c>
      <c r="C41" s="41" t="s">
        <v>2943</v>
      </c>
      <c r="D41" s="60"/>
      <c r="E41" s="60"/>
      <c r="F41" s="60"/>
      <c r="G41" s="60"/>
      <c r="H41" s="60"/>
      <c r="I41" s="60"/>
      <c r="J41" s="60"/>
      <c r="K41" s="60"/>
      <c r="L41" s="60"/>
      <c r="M41" s="60"/>
      <c r="N41" s="60"/>
      <c r="O41" s="60"/>
      <c r="P41" s="60"/>
      <c r="Q41" s="60"/>
      <c r="R41" s="60"/>
      <c r="S41" s="60"/>
      <c r="T41" s="60"/>
    </row>
    <row r="42" spans="2:28" ht="30">
      <c r="B42" s="49" t="s">
        <v>3925</v>
      </c>
      <c r="C42" s="41" t="s">
        <v>2945</v>
      </c>
      <c r="D42" s="60"/>
      <c r="E42" s="60"/>
      <c r="F42" s="60"/>
      <c r="G42" s="60"/>
      <c r="H42" s="60"/>
      <c r="I42" s="60"/>
      <c r="J42" s="60"/>
      <c r="K42" s="60"/>
      <c r="L42" s="60"/>
      <c r="M42" s="60"/>
      <c r="N42" s="60"/>
      <c r="O42" s="60"/>
      <c r="P42" s="60"/>
      <c r="Q42" s="60"/>
      <c r="R42" s="60"/>
      <c r="S42" s="60"/>
      <c r="T42" s="60"/>
    </row>
    <row r="43" spans="2:28">
      <c r="B43" s="49" t="s">
        <v>3766</v>
      </c>
      <c r="C43" s="41" t="s">
        <v>2947</v>
      </c>
      <c r="D43" s="60"/>
      <c r="E43" s="60"/>
      <c r="F43" s="60"/>
      <c r="G43" s="60"/>
      <c r="H43" s="60"/>
      <c r="I43" s="60"/>
      <c r="J43" s="60"/>
      <c r="K43" s="60"/>
      <c r="L43" s="60"/>
      <c r="M43" s="60"/>
      <c r="N43" s="60"/>
      <c r="O43" s="60"/>
      <c r="P43" s="60"/>
      <c r="Q43" s="60"/>
      <c r="R43" s="60"/>
      <c r="S43" s="60"/>
      <c r="T43" s="60"/>
    </row>
    <row r="45" spans="2:28">
      <c r="AA45" s="13" t="str">
        <f>Show!$B$84&amp;Show!$B$84&amp;"SR.17.01.01.01 Rows {"&amp;COLUMN($C$1)&amp;"}"</f>
        <v>!!SR.17.01.01.01 Rows {3}</v>
      </c>
      <c r="AB45" s="13" t="str">
        <f>Show!$B$84&amp;Show!$B$84&amp;"SR.17.01.01.01 Columns {"&amp;COLUMN($T$1)&amp;"}"</f>
        <v>!!SR.17.01.01.01 Columns {20}</v>
      </c>
    </row>
  </sheetData>
  <sheetProtection sheet="1" objects="1" scenarios="1"/>
  <mergeCells count="22">
    <mergeCell ref="B2:O2"/>
    <mergeCell ref="B5:L5"/>
    <mergeCell ref="D13:T14"/>
    <mergeCell ref="D15:O15"/>
    <mergeCell ref="P15:S15"/>
    <mergeCell ref="T15:T18"/>
    <mergeCell ref="D16:D18"/>
    <mergeCell ref="E16:E18"/>
    <mergeCell ref="F16:F18"/>
    <mergeCell ref="G16:G18"/>
    <mergeCell ref="S16:S18"/>
    <mergeCell ref="H16:H18"/>
    <mergeCell ref="I16:I18"/>
    <mergeCell ref="J16:J18"/>
    <mergeCell ref="K16:K18"/>
    <mergeCell ref="L16:L18"/>
    <mergeCell ref="R16:R18"/>
    <mergeCell ref="M16:M18"/>
    <mergeCell ref="N16:N18"/>
    <mergeCell ref="O16:O18"/>
    <mergeCell ref="P16:P18"/>
    <mergeCell ref="Q16:Q18"/>
  </mergeCells>
  <dataValidations count="1">
    <dataValidation type="list" errorStyle="warning" allowBlank="1" showInputMessage="1" showErrorMessage="1" sqref="D9" xr:uid="{BCB7430F-410F-4F35-8911-E3EE1F05ECF5}">
      <formula1>hier_PU_20</formula1>
    </dataValidation>
  </dataValidation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4FD24-3579-4A85-94FA-84035CBA0B94}">
  <sheetPr codeName="Blad89"/>
  <dimension ref="B2:Y33"/>
  <sheetViews>
    <sheetView showGridLines="0" workbookViewId="0"/>
  </sheetViews>
  <sheetFormatPr defaultRowHeight="15"/>
  <cols>
    <col min="2" max="2" width="74.42578125" bestFit="1" customWidth="1"/>
    <col min="4" max="4" width="40.7109375" customWidth="1"/>
    <col min="5" max="16" width="15.7109375" customWidth="1"/>
  </cols>
  <sheetData>
    <row r="2" spans="2:25" ht="23.25">
      <c r="B2" s="86" t="s">
        <v>638</v>
      </c>
      <c r="C2" s="87"/>
      <c r="D2" s="87"/>
      <c r="E2" s="87"/>
      <c r="F2" s="87"/>
      <c r="G2" s="87"/>
      <c r="H2" s="87"/>
      <c r="I2" s="87"/>
      <c r="J2" s="87"/>
      <c r="K2" s="87"/>
      <c r="L2" s="87"/>
      <c r="M2" s="87"/>
      <c r="N2" s="87"/>
      <c r="O2" s="87"/>
    </row>
    <row r="5" spans="2:25" ht="18.75">
      <c r="B5" s="88" t="s">
        <v>3937</v>
      </c>
      <c r="C5" s="87"/>
      <c r="D5" s="87"/>
      <c r="E5" s="87"/>
      <c r="F5" s="87"/>
      <c r="G5" s="87"/>
      <c r="H5" s="87"/>
      <c r="I5" s="87"/>
      <c r="J5" s="87"/>
      <c r="K5" s="87"/>
      <c r="L5" s="87"/>
    </row>
    <row r="9" spans="2:25">
      <c r="D9" s="92" t="s">
        <v>2877</v>
      </c>
      <c r="E9" s="93"/>
      <c r="F9" s="93"/>
      <c r="G9" s="93"/>
      <c r="H9" s="93"/>
      <c r="I9" s="93"/>
      <c r="J9" s="93"/>
      <c r="K9" s="93"/>
      <c r="L9" s="93"/>
      <c r="M9" s="93"/>
      <c r="N9" s="93"/>
      <c r="O9" s="94"/>
    </row>
    <row r="10" spans="2:25">
      <c r="D10" s="95"/>
      <c r="E10" s="96"/>
      <c r="F10" s="96"/>
      <c r="G10" s="96"/>
      <c r="H10" s="96"/>
      <c r="I10" s="96"/>
      <c r="J10" s="96"/>
      <c r="K10" s="96"/>
      <c r="L10" s="96"/>
      <c r="M10" s="96"/>
      <c r="N10" s="96"/>
      <c r="O10" s="97"/>
    </row>
    <row r="11" spans="2:25">
      <c r="D11" s="98" t="s">
        <v>3907</v>
      </c>
      <c r="E11" s="100"/>
      <c r="F11" s="100"/>
      <c r="G11" s="100"/>
      <c r="H11" s="100"/>
      <c r="I11" s="100"/>
      <c r="J11" s="100"/>
      <c r="K11" s="100"/>
      <c r="L11" s="100"/>
      <c r="M11" s="100"/>
      <c r="N11" s="100"/>
      <c r="O11" s="99"/>
    </row>
    <row r="12" spans="2:25" ht="60">
      <c r="D12" s="55" t="s">
        <v>3460</v>
      </c>
      <c r="E12" s="55" t="s">
        <v>3461</v>
      </c>
      <c r="F12" s="55" t="s">
        <v>3462</v>
      </c>
      <c r="G12" s="55" t="s">
        <v>3463</v>
      </c>
      <c r="H12" s="55" t="s">
        <v>3464</v>
      </c>
      <c r="I12" s="55" t="s">
        <v>3465</v>
      </c>
      <c r="J12" s="55" t="s">
        <v>3466</v>
      </c>
      <c r="K12" s="55" t="s">
        <v>3467</v>
      </c>
      <c r="L12" s="55" t="s">
        <v>3468</v>
      </c>
      <c r="M12" s="55" t="s">
        <v>3469</v>
      </c>
      <c r="N12" s="55" t="s">
        <v>3470</v>
      </c>
      <c r="O12" s="55" t="s">
        <v>3471</v>
      </c>
    </row>
    <row r="13" spans="2:25">
      <c r="D13" s="45" t="s">
        <v>3219</v>
      </c>
      <c r="E13" s="45" t="s">
        <v>3225</v>
      </c>
      <c r="F13" s="45" t="s">
        <v>3223</v>
      </c>
      <c r="G13" s="45" t="s">
        <v>3229</v>
      </c>
      <c r="H13" s="45" t="s">
        <v>3231</v>
      </c>
      <c r="I13" s="45" t="s">
        <v>3233</v>
      </c>
      <c r="J13" s="45" t="s">
        <v>3234</v>
      </c>
      <c r="K13" s="45" t="s">
        <v>3236</v>
      </c>
      <c r="L13" s="45" t="s">
        <v>3239</v>
      </c>
      <c r="M13" s="45" t="s">
        <v>3241</v>
      </c>
      <c r="N13" s="45" t="s">
        <v>3243</v>
      </c>
      <c r="O13" s="45" t="s">
        <v>3375</v>
      </c>
      <c r="X13" s="13" t="str">
        <f>Show!$B$85&amp;"S.17.02.01.01 Rows {"&amp;COLUMN($C$1)&amp;"}"&amp;"@ForceFilingCode:true"</f>
        <v>!S.17.02.01.01 Rows {3}@ForceFilingCode:true</v>
      </c>
      <c r="Y13" s="13" t="str">
        <f>Show!$B$85&amp;"S.17.02.01.01 Columns {"&amp;COLUMN($D$1)&amp;"}"</f>
        <v>!S.17.02.01.01 Columns {4}</v>
      </c>
    </row>
    <row r="14" spans="2:25">
      <c r="B14" s="43" t="s">
        <v>2880</v>
      </c>
      <c r="C14" s="44" t="s">
        <v>2878</v>
      </c>
      <c r="D14" s="56"/>
      <c r="E14" s="66"/>
      <c r="F14" s="66"/>
      <c r="G14" s="66"/>
      <c r="H14" s="66"/>
      <c r="I14" s="66"/>
      <c r="J14" s="66"/>
      <c r="K14" s="66"/>
      <c r="L14" s="66"/>
      <c r="M14" s="66"/>
      <c r="N14" s="66"/>
      <c r="O14" s="57"/>
    </row>
    <row r="15" spans="2:25">
      <c r="B15" s="47" t="s">
        <v>3559</v>
      </c>
      <c r="C15" s="41" t="s">
        <v>2883</v>
      </c>
      <c r="D15" s="60"/>
      <c r="E15" s="60"/>
      <c r="F15" s="60"/>
      <c r="G15" s="60"/>
      <c r="H15" s="60"/>
      <c r="I15" s="60"/>
      <c r="J15" s="60"/>
      <c r="K15" s="60"/>
      <c r="L15" s="60"/>
      <c r="M15" s="60"/>
      <c r="N15" s="60"/>
      <c r="O15" s="60"/>
    </row>
    <row r="16" spans="2:25">
      <c r="B16" s="47" t="s">
        <v>3791</v>
      </c>
      <c r="C16" s="41" t="s">
        <v>2885</v>
      </c>
      <c r="D16" s="60"/>
      <c r="E16" s="60"/>
      <c r="F16" s="60"/>
      <c r="G16" s="60"/>
      <c r="H16" s="60"/>
      <c r="I16" s="60"/>
      <c r="J16" s="60"/>
      <c r="K16" s="60"/>
      <c r="L16" s="60"/>
      <c r="M16" s="60"/>
      <c r="N16" s="60"/>
      <c r="O16" s="60"/>
    </row>
    <row r="17" spans="2:25">
      <c r="B17" s="47" t="s">
        <v>3792</v>
      </c>
      <c r="C17" s="41" t="s">
        <v>2887</v>
      </c>
      <c r="D17" s="60"/>
      <c r="E17" s="60"/>
      <c r="F17" s="60"/>
      <c r="G17" s="60"/>
      <c r="H17" s="60"/>
      <c r="I17" s="60"/>
      <c r="J17" s="60"/>
      <c r="K17" s="60"/>
      <c r="L17" s="60"/>
      <c r="M17" s="60"/>
      <c r="N17" s="60"/>
      <c r="O17" s="60"/>
    </row>
    <row r="19" spans="2:25">
      <c r="X19" s="13" t="str">
        <f>Show!$B$85&amp;Show!$B$85&amp;"S.17.02.01.01 Rows {"&amp;COLUMN($C$1)&amp;"}"</f>
        <v>!!S.17.02.01.01 Rows {3}</v>
      </c>
      <c r="Y19" s="13" t="str">
        <f>Show!$B$85&amp;Show!$B$85&amp;"S.17.02.01.01 Columns {"&amp;COLUMN($O$1)&amp;"}"</f>
        <v>!!S.17.02.01.01 Columns {15}</v>
      </c>
    </row>
    <row r="21" spans="2:25" ht="18.75">
      <c r="B21" s="88" t="s">
        <v>3938</v>
      </c>
      <c r="C21" s="87"/>
      <c r="D21" s="87"/>
      <c r="E21" s="87"/>
      <c r="F21" s="87"/>
      <c r="G21" s="87"/>
      <c r="H21" s="87"/>
      <c r="I21" s="87"/>
      <c r="J21" s="87"/>
      <c r="K21" s="87"/>
      <c r="L21" s="87"/>
    </row>
    <row r="25" spans="2:25">
      <c r="D25" s="89" t="s">
        <v>56</v>
      </c>
      <c r="E25" s="92" t="s">
        <v>2877</v>
      </c>
      <c r="F25" s="93"/>
      <c r="G25" s="93"/>
      <c r="H25" s="93"/>
      <c r="I25" s="93"/>
      <c r="J25" s="93"/>
      <c r="K25" s="93"/>
      <c r="L25" s="93"/>
      <c r="M25" s="93"/>
      <c r="N25" s="93"/>
      <c r="O25" s="93"/>
      <c r="P25" s="94"/>
    </row>
    <row r="26" spans="2:25">
      <c r="D26" s="90"/>
      <c r="E26" s="95"/>
      <c r="F26" s="96"/>
      <c r="G26" s="96"/>
      <c r="H26" s="96"/>
      <c r="I26" s="96"/>
      <c r="J26" s="96"/>
      <c r="K26" s="96"/>
      <c r="L26" s="96"/>
      <c r="M26" s="96"/>
      <c r="N26" s="96"/>
      <c r="O26" s="96"/>
      <c r="P26" s="97"/>
    </row>
    <row r="27" spans="2:25">
      <c r="D27" s="90"/>
      <c r="E27" s="98" t="s">
        <v>3907</v>
      </c>
      <c r="F27" s="100"/>
      <c r="G27" s="100"/>
      <c r="H27" s="100"/>
      <c r="I27" s="100"/>
      <c r="J27" s="100"/>
      <c r="K27" s="100"/>
      <c r="L27" s="100"/>
      <c r="M27" s="100"/>
      <c r="N27" s="100"/>
      <c r="O27" s="100"/>
      <c r="P27" s="99"/>
    </row>
    <row r="28" spans="2:25" ht="60">
      <c r="D28" s="91"/>
      <c r="E28" s="55" t="s">
        <v>3460</v>
      </c>
      <c r="F28" s="55" t="s">
        <v>3461</v>
      </c>
      <c r="G28" s="55" t="s">
        <v>3462</v>
      </c>
      <c r="H28" s="55" t="s">
        <v>3463</v>
      </c>
      <c r="I28" s="55" t="s">
        <v>3464</v>
      </c>
      <c r="J28" s="55" t="s">
        <v>3465</v>
      </c>
      <c r="K28" s="55" t="s">
        <v>3466</v>
      </c>
      <c r="L28" s="55" t="s">
        <v>3467</v>
      </c>
      <c r="M28" s="55" t="s">
        <v>3468</v>
      </c>
      <c r="N28" s="55" t="s">
        <v>3469</v>
      </c>
      <c r="O28" s="55" t="s">
        <v>3470</v>
      </c>
      <c r="P28" s="55" t="s">
        <v>3471</v>
      </c>
    </row>
    <row r="29" spans="2:25">
      <c r="D29" s="45" t="s">
        <v>2879</v>
      </c>
      <c r="E29" s="45" t="s">
        <v>3219</v>
      </c>
      <c r="F29" s="45" t="s">
        <v>3225</v>
      </c>
      <c r="G29" s="45" t="s">
        <v>3223</v>
      </c>
      <c r="H29" s="45" t="s">
        <v>3229</v>
      </c>
      <c r="I29" s="45" t="s">
        <v>3231</v>
      </c>
      <c r="J29" s="45" t="s">
        <v>3233</v>
      </c>
      <c r="K29" s="45" t="s">
        <v>3234</v>
      </c>
      <c r="L29" s="45" t="s">
        <v>3236</v>
      </c>
      <c r="M29" s="45" t="s">
        <v>3239</v>
      </c>
      <c r="N29" s="45" t="s">
        <v>3241</v>
      </c>
      <c r="O29" s="45" t="s">
        <v>3243</v>
      </c>
      <c r="P29" s="45" t="s">
        <v>3375</v>
      </c>
      <c r="X29" s="13" t="str">
        <f>Show!$B$85&amp;"S.17.02.01.02 Rows {"&amp;COLUMN($C$1)&amp;"}"&amp;"@ForceFilingCode:true"</f>
        <v>!S.17.02.01.02 Rows {3}@ForceFilingCode:true</v>
      </c>
      <c r="Y29" s="13" t="str">
        <f>Show!$B$85&amp;"S.17.02.01.02 Columns {"&amp;COLUMN($D$1)&amp;"}"</f>
        <v>!S.17.02.01.02 Columns {4}</v>
      </c>
    </row>
    <row r="30" spans="2:25">
      <c r="B30" s="43" t="s">
        <v>2880</v>
      </c>
      <c r="C30" s="44" t="s">
        <v>2878</v>
      </c>
      <c r="D30" s="56"/>
      <c r="E30" s="66"/>
      <c r="F30" s="66"/>
      <c r="G30" s="66"/>
      <c r="H30" s="66"/>
      <c r="I30" s="66"/>
      <c r="J30" s="66"/>
      <c r="K30" s="66"/>
      <c r="L30" s="66"/>
      <c r="M30" s="66"/>
      <c r="N30" s="66"/>
      <c r="O30" s="66"/>
      <c r="P30" s="57"/>
    </row>
    <row r="31" spans="2:25">
      <c r="B31" s="47" t="s">
        <v>3794</v>
      </c>
      <c r="C31" s="41" t="s">
        <v>2889</v>
      </c>
      <c r="D31" s="51"/>
      <c r="E31" s="60"/>
      <c r="F31" s="60"/>
      <c r="G31" s="60"/>
      <c r="H31" s="60"/>
      <c r="I31" s="60"/>
      <c r="J31" s="60"/>
      <c r="K31" s="60"/>
      <c r="L31" s="60"/>
      <c r="M31" s="60"/>
      <c r="N31" s="60"/>
      <c r="O31" s="60"/>
      <c r="P31" s="60"/>
    </row>
    <row r="33" spans="24:25">
      <c r="X33" s="13" t="str">
        <f>Show!$B$85&amp;Show!$B$85&amp;"S.17.02.01.02 Rows {"&amp;COLUMN($C$1)&amp;"}"</f>
        <v>!!S.17.02.01.02 Rows {3}</v>
      </c>
      <c r="Y33" s="13" t="str">
        <f>Show!$B$85&amp;Show!$B$85&amp;"S.17.02.01.02 Columns {"&amp;COLUMN($P$1)&amp;"}"</f>
        <v>!!S.17.02.01.02 Columns {16}</v>
      </c>
    </row>
  </sheetData>
  <sheetProtection sheet="1" objects="1" scenarios="1"/>
  <mergeCells count="8">
    <mergeCell ref="D25:D28"/>
    <mergeCell ref="E25:P26"/>
    <mergeCell ref="E27:P27"/>
    <mergeCell ref="B2:O2"/>
    <mergeCell ref="B5:L5"/>
    <mergeCell ref="D9:O10"/>
    <mergeCell ref="D11:O11"/>
    <mergeCell ref="B21:L21"/>
  </mergeCells>
  <dataValidations count="1">
    <dataValidation type="list" errorStyle="warning" allowBlank="1" showInputMessage="1" showErrorMessage="1" sqref="D31" xr:uid="{33344AE7-839C-4978-9861-A5B40572027C}">
      <formula1>hier_GA_18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F332F-9E18-4F69-B38F-FEAE6DC1FB8B}">
  <sheetPr codeName="Blad9"/>
  <dimension ref="B2:O24"/>
  <sheetViews>
    <sheetView showGridLines="0" workbookViewId="0"/>
  </sheetViews>
  <sheetFormatPr defaultRowHeight="15"/>
  <cols>
    <col min="2" max="2" width="70.28515625" bestFit="1" customWidth="1"/>
    <col min="4" max="4" width="40.7109375" customWidth="1"/>
  </cols>
  <sheetData>
    <row r="2" spans="2:15" ht="23.25">
      <c r="B2" s="86" t="s">
        <v>512</v>
      </c>
      <c r="C2" s="87"/>
      <c r="D2" s="87"/>
      <c r="E2" s="87"/>
      <c r="F2" s="87"/>
      <c r="G2" s="87"/>
      <c r="H2" s="87"/>
      <c r="I2" s="87"/>
      <c r="J2" s="87"/>
      <c r="K2" s="87"/>
      <c r="L2" s="87"/>
      <c r="M2" s="87"/>
      <c r="N2" s="87"/>
      <c r="O2" s="87"/>
    </row>
    <row r="5" spans="2:15" ht="18.75">
      <c r="B5" s="88" t="s">
        <v>3073</v>
      </c>
      <c r="C5" s="87"/>
      <c r="D5" s="87"/>
      <c r="E5" s="87"/>
      <c r="F5" s="87"/>
      <c r="G5" s="87"/>
      <c r="H5" s="87"/>
      <c r="I5" s="87"/>
      <c r="J5" s="87"/>
      <c r="K5" s="87"/>
      <c r="L5" s="87"/>
    </row>
    <row r="9" spans="2:15">
      <c r="D9" s="89" t="s">
        <v>2877</v>
      </c>
    </row>
    <row r="10" spans="2:15">
      <c r="D10" s="90"/>
    </row>
    <row r="11" spans="2:15">
      <c r="D11" s="90"/>
    </row>
    <row r="12" spans="2:15">
      <c r="D12" s="91"/>
    </row>
    <row r="13" spans="2:15">
      <c r="D13" s="45" t="s">
        <v>2879</v>
      </c>
      <c r="I13" s="13" t="str">
        <f>IF(COUNTIF(D:D,"Reported")&gt;0,Show!$B$5,"!")&amp;"S.01.01.05.01 Rows {"&amp;COLUMN($C$1)&amp;"}"&amp;"@ForceFilingCode:true"</f>
        <v>!S.01.01.05.01 Rows {3}@ForceFilingCode:true</v>
      </c>
      <c r="J13" s="13" t="str">
        <f>IF(COUNTIF(D:D,"Reported")&gt;0,Show!$B$5,"!")&amp;"S.01.01.05.01 Columns {"&amp;COLUMN($D$1)&amp;"}"</f>
        <v>!S.01.01.05.01 Columns {4}</v>
      </c>
    </row>
    <row r="14" spans="2:15">
      <c r="B14" s="43" t="s">
        <v>2880</v>
      </c>
      <c r="C14" s="44" t="s">
        <v>2878</v>
      </c>
      <c r="D14" s="48"/>
    </row>
    <row r="15" spans="2:15">
      <c r="B15" s="47" t="s">
        <v>2881</v>
      </c>
      <c r="C15" s="44" t="s">
        <v>2878</v>
      </c>
      <c r="D15" s="46"/>
    </row>
    <row r="16" spans="2:15">
      <c r="B16" s="52" t="s">
        <v>3030</v>
      </c>
      <c r="C16" s="41" t="s">
        <v>2883</v>
      </c>
      <c r="D16" s="51"/>
    </row>
    <row r="17" spans="2:10">
      <c r="B17" s="52" t="s">
        <v>3025</v>
      </c>
      <c r="C17" s="41" t="s">
        <v>2887</v>
      </c>
      <c r="D17" s="51"/>
    </row>
    <row r="18" spans="2:10">
      <c r="B18" s="52" t="s">
        <v>3026</v>
      </c>
      <c r="C18" s="41" t="s">
        <v>2901</v>
      </c>
      <c r="D18" s="51"/>
    </row>
    <row r="19" spans="2:10">
      <c r="B19" s="52" t="s">
        <v>3035</v>
      </c>
      <c r="C19" s="41" t="s">
        <v>2907</v>
      </c>
      <c r="D19" s="51"/>
    </row>
    <row r="20" spans="2:10">
      <c r="B20" s="52" t="s">
        <v>3036</v>
      </c>
      <c r="C20" s="41" t="s">
        <v>2909</v>
      </c>
      <c r="D20" s="51"/>
    </row>
    <row r="21" spans="2:10">
      <c r="B21" s="52" t="s">
        <v>3038</v>
      </c>
      <c r="C21" s="41" t="s">
        <v>2913</v>
      </c>
      <c r="D21" s="51"/>
    </row>
    <row r="22" spans="2:10">
      <c r="B22" s="52" t="s">
        <v>3039</v>
      </c>
      <c r="C22" s="41" t="s">
        <v>2915</v>
      </c>
      <c r="D22" s="51"/>
    </row>
    <row r="23" spans="2:10">
      <c r="B23" s="52" t="s">
        <v>3046</v>
      </c>
      <c r="C23" s="41" t="s">
        <v>2961</v>
      </c>
      <c r="D23" s="51"/>
    </row>
    <row r="24" spans="2:10">
      <c r="I24" s="13" t="str">
        <f>IF(COUNTIF(D:D,"Reported")&gt;0,Show!$B$5&amp;Show!$B$5,"!!")&amp;"S.01.01.05.01 Rows {"&amp;COLUMN($C$1)&amp;"}"</f>
        <v>!!S.01.01.05.01 Rows {3}</v>
      </c>
      <c r="J24" s="13" t="str">
        <f>IF(COUNTIF(D:D,"Reported")&gt;0,Show!$B$5&amp;Show!$B$5,"!!")&amp;"S.01.01.05.01 Columns {"&amp;COLUMN($D$1)&amp;"}"</f>
        <v>!!S.01.01.05.01 Columns {4}</v>
      </c>
    </row>
  </sheetData>
  <sheetProtection sheet="1" objects="1" scenarios="1"/>
  <mergeCells count="3">
    <mergeCell ref="B2:O2"/>
    <mergeCell ref="B5:L5"/>
    <mergeCell ref="D9:D12"/>
  </mergeCells>
  <dataValidations count="6">
    <dataValidation type="list" errorStyle="warning" allowBlank="1" showInputMessage="1" showErrorMessage="1" sqref="D16" xr:uid="{A6209AEA-2935-4A44-A2BA-3F9FC4C1BEE1}">
      <formula1>hier_CN_2</formula1>
    </dataValidation>
    <dataValidation type="list" errorStyle="warning" allowBlank="1" showInputMessage="1" showErrorMessage="1" sqref="D17" xr:uid="{CCA491FA-C241-41FF-8610-85F4DD9A7B64}">
      <formula1>hier_CN_16</formula1>
    </dataValidation>
    <dataValidation type="list" errorStyle="warning" allowBlank="1" showInputMessage="1" showErrorMessage="1" sqref="D18 D23" xr:uid="{F57674D8-B1C2-4170-84ED-95EBDC4633A8}">
      <formula1>hier_CN_87</formula1>
    </dataValidation>
    <dataValidation type="list" errorStyle="warning" allowBlank="1" showInputMessage="1" showErrorMessage="1" sqref="D19" xr:uid="{8BA3786D-6128-46CC-B65B-D667D33858C8}">
      <formula1>hier_CN_24</formula1>
    </dataValidation>
    <dataValidation type="list" errorStyle="warning" allowBlank="1" showInputMessage="1" showErrorMessage="1" sqref="D20" xr:uid="{F874A4DA-48EC-4F6C-A600-C493F9EBC0E3}">
      <formula1>hier_CN_118</formula1>
    </dataValidation>
    <dataValidation type="list" errorStyle="warning" allowBlank="1" showInputMessage="1" showErrorMessage="1" sqref="D21 D22" xr:uid="{979F3051-201E-43BB-ACD1-A74354413BEC}">
      <formula1>hier_CN_29</formula1>
    </dataValidation>
  </dataValidations>
  <hyperlinks>
    <hyperlink ref="B16" location="'S.01.02.04'!A1" display="S.01.02.04 - Basic Information - General" xr:uid="{7F45DE62-1978-4AA2-B66D-76811ED00B6B}"/>
    <hyperlink ref="B17" location="'S.02.01.02'!A1" display="S.02.01.02 - Balance sheet" xr:uid="{B6E095CD-F061-4B34-B42A-3ACDF2F55817}"/>
    <hyperlink ref="B18" location="'S.05.01.02'!A1" display="S.05.01.02 - Premiums, claims and expenses by line of business" xr:uid="{D573D0FE-7ED3-4FD3-916E-B6A078F56CD0}"/>
    <hyperlink ref="B19" location="'S.06.02.04'!A1" display="S.06.02.04 - List of assets" xr:uid="{6E028377-C2A1-43A5-8A71-39137BA69E00}"/>
    <hyperlink ref="B20" location="'S.06.03.04'!A1" display="S.06.03.04 - Collective investment undertakings - look-through approach" xr:uid="{77AC68AF-B79F-4420-B78D-ED4E1BDD3B68}"/>
    <hyperlink ref="B21" location="'S.08.01.04'!A1" display="S.08.01.04 - Open derivatives" xr:uid="{1584233A-08B4-44D5-8DEB-CF3ABE1962AC}"/>
    <hyperlink ref="B22" location="'S.08.02.04'!A1" display="S.08.02.04 - Derivatives Transactions" xr:uid="{BB95C8B7-5E86-45E3-8187-3BBEB1972F38}"/>
    <hyperlink ref="B23" location="'S.23.01.04'!A1" display="S.23.01.04 - Own funds" xr:uid="{D3B5E9C3-3477-4D5F-ACC8-75243FDC69A0}"/>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8B6A7-D6C9-42A5-88EC-79DBD015A3FC}">
  <sheetPr codeName="Blad90"/>
  <dimension ref="B2:X49"/>
  <sheetViews>
    <sheetView showGridLines="0" workbookViewId="0"/>
  </sheetViews>
  <sheetFormatPr defaultRowHeight="15"/>
  <cols>
    <col min="2" max="2" width="53.28515625" bestFit="1" customWidth="1"/>
    <col min="4" max="12" width="15.7109375" customWidth="1"/>
  </cols>
  <sheetData>
    <row r="2" spans="2:24" ht="23.25">
      <c r="B2" s="86" t="s">
        <v>640</v>
      </c>
      <c r="C2" s="87"/>
      <c r="D2" s="87"/>
      <c r="E2" s="87"/>
      <c r="F2" s="87"/>
      <c r="G2" s="87"/>
      <c r="H2" s="87"/>
      <c r="I2" s="87"/>
      <c r="J2" s="87"/>
      <c r="K2" s="87"/>
      <c r="L2" s="87"/>
      <c r="M2" s="87"/>
      <c r="N2" s="87"/>
      <c r="O2" s="87"/>
    </row>
    <row r="5" spans="2:24" ht="18.75">
      <c r="B5" s="88" t="s">
        <v>3939</v>
      </c>
      <c r="C5" s="87"/>
      <c r="D5" s="87"/>
      <c r="E5" s="87"/>
      <c r="F5" s="87"/>
      <c r="G5" s="87"/>
      <c r="H5" s="87"/>
      <c r="I5" s="87"/>
      <c r="J5" s="87"/>
      <c r="K5" s="87"/>
      <c r="L5" s="87"/>
    </row>
    <row r="9" spans="2:24">
      <c r="D9" s="92" t="s">
        <v>2877</v>
      </c>
      <c r="E9" s="93"/>
      <c r="F9" s="93"/>
      <c r="G9" s="93"/>
      <c r="H9" s="93"/>
      <c r="I9" s="93"/>
      <c r="J9" s="93"/>
      <c r="K9" s="93"/>
      <c r="L9" s="94"/>
    </row>
    <row r="10" spans="2:24">
      <c r="D10" s="95"/>
      <c r="E10" s="96"/>
      <c r="F10" s="96"/>
      <c r="G10" s="96"/>
      <c r="H10" s="96"/>
      <c r="I10" s="96"/>
      <c r="J10" s="96"/>
      <c r="K10" s="96"/>
      <c r="L10" s="97"/>
    </row>
    <row r="11" spans="2:24">
      <c r="D11" s="98" t="s">
        <v>3940</v>
      </c>
      <c r="E11" s="100"/>
      <c r="F11" s="100"/>
      <c r="G11" s="99"/>
      <c r="H11" s="98" t="s">
        <v>3943</v>
      </c>
      <c r="I11" s="100"/>
      <c r="J11" s="100"/>
      <c r="K11" s="99"/>
      <c r="L11" s="89" t="s">
        <v>3799</v>
      </c>
    </row>
    <row r="12" spans="2:24">
      <c r="D12" s="98" t="s">
        <v>3769</v>
      </c>
      <c r="E12" s="99"/>
      <c r="F12" s="98" t="s">
        <v>3774</v>
      </c>
      <c r="G12" s="99"/>
      <c r="H12" s="98" t="s">
        <v>3769</v>
      </c>
      <c r="I12" s="99"/>
      <c r="J12" s="98" t="s">
        <v>3774</v>
      </c>
      <c r="K12" s="99"/>
      <c r="L12" s="90"/>
    </row>
    <row r="13" spans="2:24" ht="60">
      <c r="D13" s="55" t="s">
        <v>3941</v>
      </c>
      <c r="E13" s="55" t="s">
        <v>3932</v>
      </c>
      <c r="F13" s="55" t="s">
        <v>3775</v>
      </c>
      <c r="G13" s="55" t="s">
        <v>3942</v>
      </c>
      <c r="H13" s="55" t="s">
        <v>3941</v>
      </c>
      <c r="I13" s="55" t="s">
        <v>3932</v>
      </c>
      <c r="J13" s="55" t="s">
        <v>3775</v>
      </c>
      <c r="K13" s="55" t="s">
        <v>3942</v>
      </c>
      <c r="L13" s="91"/>
    </row>
    <row r="14" spans="2:24">
      <c r="D14" s="45" t="s">
        <v>2879</v>
      </c>
      <c r="E14" s="45" t="s">
        <v>3219</v>
      </c>
      <c r="F14" s="45" t="s">
        <v>3225</v>
      </c>
      <c r="G14" s="45" t="s">
        <v>3223</v>
      </c>
      <c r="H14" s="45" t="s">
        <v>3229</v>
      </c>
      <c r="I14" s="45" t="s">
        <v>3231</v>
      </c>
      <c r="J14" s="45" t="s">
        <v>3233</v>
      </c>
      <c r="K14" s="45" t="s">
        <v>3234</v>
      </c>
      <c r="L14" s="45" t="s">
        <v>3236</v>
      </c>
      <c r="W14" s="13" t="str">
        <f>Show!$B$86&amp;"S.18.01.01.01 Rows {"&amp;COLUMN($C$1)&amp;"}"&amp;"@ForceFilingCode:true"</f>
        <v>!S.18.01.01.01 Rows {3}@ForceFilingCode:true</v>
      </c>
      <c r="X14" s="13" t="str">
        <f>Show!$B$86&amp;"S.18.01.01.01 Columns {"&amp;COLUMN($D$1)&amp;"}"</f>
        <v>!S.18.01.01.01 Columns {4}</v>
      </c>
    </row>
    <row r="15" spans="2:24">
      <c r="B15" s="43" t="s">
        <v>2880</v>
      </c>
      <c r="C15" s="44" t="s">
        <v>2878</v>
      </c>
      <c r="D15" s="58"/>
      <c r="E15" s="67"/>
      <c r="F15" s="67"/>
      <c r="G15" s="67"/>
      <c r="H15" s="67"/>
      <c r="I15" s="67"/>
      <c r="J15" s="67"/>
      <c r="K15" s="67"/>
      <c r="L15" s="59"/>
    </row>
    <row r="16" spans="2:24">
      <c r="B16" s="47" t="s">
        <v>3800</v>
      </c>
      <c r="C16" s="44" t="s">
        <v>2878</v>
      </c>
      <c r="D16" s="56"/>
      <c r="E16" s="66"/>
      <c r="F16" s="66"/>
      <c r="G16" s="66"/>
      <c r="H16" s="66"/>
      <c r="I16" s="66"/>
      <c r="J16" s="66"/>
      <c r="K16" s="66"/>
      <c r="L16" s="57"/>
    </row>
    <row r="17" spans="2:12">
      <c r="B17" s="49" t="s">
        <v>3801</v>
      </c>
      <c r="C17" s="41" t="s">
        <v>2883</v>
      </c>
      <c r="D17" s="60"/>
      <c r="E17" s="60"/>
      <c r="F17" s="60"/>
      <c r="G17" s="60"/>
      <c r="H17" s="60"/>
      <c r="I17" s="60"/>
      <c r="J17" s="60"/>
      <c r="K17" s="60"/>
      <c r="L17" s="60"/>
    </row>
    <row r="18" spans="2:12">
      <c r="B18" s="49" t="s">
        <v>3802</v>
      </c>
      <c r="C18" s="41" t="s">
        <v>2885</v>
      </c>
      <c r="D18" s="60"/>
      <c r="E18" s="60"/>
      <c r="F18" s="60"/>
      <c r="G18" s="60"/>
      <c r="H18" s="60"/>
      <c r="I18" s="60"/>
      <c r="J18" s="60"/>
      <c r="K18" s="60"/>
      <c r="L18" s="60"/>
    </row>
    <row r="19" spans="2:12">
      <c r="B19" s="49" t="s">
        <v>3803</v>
      </c>
      <c r="C19" s="41" t="s">
        <v>2887</v>
      </c>
      <c r="D19" s="60"/>
      <c r="E19" s="60"/>
      <c r="F19" s="60"/>
      <c r="G19" s="60"/>
      <c r="H19" s="60"/>
      <c r="I19" s="60"/>
      <c r="J19" s="60"/>
      <c r="K19" s="60"/>
      <c r="L19" s="60"/>
    </row>
    <row r="20" spans="2:12">
      <c r="B20" s="49" t="s">
        <v>3804</v>
      </c>
      <c r="C20" s="41" t="s">
        <v>2889</v>
      </c>
      <c r="D20" s="60"/>
      <c r="E20" s="60"/>
      <c r="F20" s="60"/>
      <c r="G20" s="60"/>
      <c r="H20" s="60"/>
      <c r="I20" s="60"/>
      <c r="J20" s="60"/>
      <c r="K20" s="60"/>
      <c r="L20" s="60"/>
    </row>
    <row r="21" spans="2:12">
      <c r="B21" s="49" t="s">
        <v>3805</v>
      </c>
      <c r="C21" s="41" t="s">
        <v>3078</v>
      </c>
      <c r="D21" s="60"/>
      <c r="E21" s="60"/>
      <c r="F21" s="60"/>
      <c r="G21" s="60"/>
      <c r="H21" s="60"/>
      <c r="I21" s="60"/>
      <c r="J21" s="60"/>
      <c r="K21" s="60"/>
      <c r="L21" s="60"/>
    </row>
    <row r="22" spans="2:12">
      <c r="B22" s="49" t="s">
        <v>3806</v>
      </c>
      <c r="C22" s="41" t="s">
        <v>2891</v>
      </c>
      <c r="D22" s="60"/>
      <c r="E22" s="60"/>
      <c r="F22" s="60"/>
      <c r="G22" s="60"/>
      <c r="H22" s="60"/>
      <c r="I22" s="60"/>
      <c r="J22" s="60"/>
      <c r="K22" s="60"/>
      <c r="L22" s="60"/>
    </row>
    <row r="23" spans="2:12">
      <c r="B23" s="49" t="s">
        <v>3807</v>
      </c>
      <c r="C23" s="41" t="s">
        <v>2893</v>
      </c>
      <c r="D23" s="60"/>
      <c r="E23" s="60"/>
      <c r="F23" s="60"/>
      <c r="G23" s="60"/>
      <c r="H23" s="60"/>
      <c r="I23" s="60"/>
      <c r="J23" s="60"/>
      <c r="K23" s="60"/>
      <c r="L23" s="60"/>
    </row>
    <row r="24" spans="2:12">
      <c r="B24" s="49" t="s">
        <v>3808</v>
      </c>
      <c r="C24" s="41" t="s">
        <v>2895</v>
      </c>
      <c r="D24" s="60"/>
      <c r="E24" s="60"/>
      <c r="F24" s="60"/>
      <c r="G24" s="60"/>
      <c r="H24" s="60"/>
      <c r="I24" s="60"/>
      <c r="J24" s="60"/>
      <c r="K24" s="60"/>
      <c r="L24" s="60"/>
    </row>
    <row r="25" spans="2:12">
      <c r="B25" s="49" t="s">
        <v>3809</v>
      </c>
      <c r="C25" s="41" t="s">
        <v>2897</v>
      </c>
      <c r="D25" s="60"/>
      <c r="E25" s="60"/>
      <c r="F25" s="60"/>
      <c r="G25" s="60"/>
      <c r="H25" s="60"/>
      <c r="I25" s="60"/>
      <c r="J25" s="60"/>
      <c r="K25" s="60"/>
      <c r="L25" s="60"/>
    </row>
    <row r="26" spans="2:12">
      <c r="B26" s="49" t="s">
        <v>22</v>
      </c>
      <c r="C26" s="41" t="s">
        <v>2899</v>
      </c>
      <c r="D26" s="60"/>
      <c r="E26" s="60"/>
      <c r="F26" s="60"/>
      <c r="G26" s="60"/>
      <c r="H26" s="60"/>
      <c r="I26" s="60"/>
      <c r="J26" s="60"/>
      <c r="K26" s="60"/>
      <c r="L26" s="60"/>
    </row>
    <row r="27" spans="2:12">
      <c r="B27" s="49" t="s">
        <v>28</v>
      </c>
      <c r="C27" s="41" t="s">
        <v>2901</v>
      </c>
      <c r="D27" s="60"/>
      <c r="E27" s="60"/>
      <c r="F27" s="60"/>
      <c r="G27" s="60"/>
      <c r="H27" s="60"/>
      <c r="I27" s="60"/>
      <c r="J27" s="60"/>
      <c r="K27" s="60"/>
      <c r="L27" s="60"/>
    </row>
    <row r="28" spans="2:12">
      <c r="B28" s="49" t="s">
        <v>31</v>
      </c>
      <c r="C28" s="41" t="s">
        <v>2903</v>
      </c>
      <c r="D28" s="60"/>
      <c r="E28" s="60"/>
      <c r="F28" s="60"/>
      <c r="G28" s="60"/>
      <c r="H28" s="60"/>
      <c r="I28" s="60"/>
      <c r="J28" s="60"/>
      <c r="K28" s="60"/>
      <c r="L28" s="60"/>
    </row>
    <row r="29" spans="2:12">
      <c r="B29" s="49" t="s">
        <v>37</v>
      </c>
      <c r="C29" s="41" t="s">
        <v>2905</v>
      </c>
      <c r="D29" s="60"/>
      <c r="E29" s="60"/>
      <c r="F29" s="60"/>
      <c r="G29" s="60"/>
      <c r="H29" s="60"/>
      <c r="I29" s="60"/>
      <c r="J29" s="60"/>
      <c r="K29" s="60"/>
      <c r="L29" s="60"/>
    </row>
    <row r="30" spans="2:12">
      <c r="B30" s="49" t="s">
        <v>40</v>
      </c>
      <c r="C30" s="41" t="s">
        <v>2907</v>
      </c>
      <c r="D30" s="60"/>
      <c r="E30" s="60"/>
      <c r="F30" s="60"/>
      <c r="G30" s="60"/>
      <c r="H30" s="60"/>
      <c r="I30" s="60"/>
      <c r="J30" s="60"/>
      <c r="K30" s="60"/>
      <c r="L30" s="60"/>
    </row>
    <row r="31" spans="2:12">
      <c r="B31" s="49" t="s">
        <v>44</v>
      </c>
      <c r="C31" s="41" t="s">
        <v>2909</v>
      </c>
      <c r="D31" s="60"/>
      <c r="E31" s="60"/>
      <c r="F31" s="60"/>
      <c r="G31" s="60"/>
      <c r="H31" s="60"/>
      <c r="I31" s="60"/>
      <c r="J31" s="60"/>
      <c r="K31" s="60"/>
      <c r="L31" s="60"/>
    </row>
    <row r="32" spans="2:12">
      <c r="B32" s="49" t="s">
        <v>47</v>
      </c>
      <c r="C32" s="41" t="s">
        <v>2911</v>
      </c>
      <c r="D32" s="60"/>
      <c r="E32" s="60"/>
      <c r="F32" s="60"/>
      <c r="G32" s="60"/>
      <c r="H32" s="60"/>
      <c r="I32" s="60"/>
      <c r="J32" s="60"/>
      <c r="K32" s="60"/>
      <c r="L32" s="60"/>
    </row>
    <row r="33" spans="2:12">
      <c r="B33" s="49" t="s">
        <v>51</v>
      </c>
      <c r="C33" s="41" t="s">
        <v>2913</v>
      </c>
      <c r="D33" s="60"/>
      <c r="E33" s="60"/>
      <c r="F33" s="60"/>
      <c r="G33" s="60"/>
      <c r="H33" s="60"/>
      <c r="I33" s="60"/>
      <c r="J33" s="60"/>
      <c r="K33" s="60"/>
      <c r="L33" s="60"/>
    </row>
    <row r="34" spans="2:12">
      <c r="B34" s="49" t="s">
        <v>54</v>
      </c>
      <c r="C34" s="41" t="s">
        <v>2915</v>
      </c>
      <c r="D34" s="60"/>
      <c r="E34" s="60"/>
      <c r="F34" s="60"/>
      <c r="G34" s="60"/>
      <c r="H34" s="60"/>
      <c r="I34" s="60"/>
      <c r="J34" s="60"/>
      <c r="K34" s="60"/>
      <c r="L34" s="60"/>
    </row>
    <row r="35" spans="2:12">
      <c r="B35" s="49" t="s">
        <v>58</v>
      </c>
      <c r="C35" s="41" t="s">
        <v>2917</v>
      </c>
      <c r="D35" s="60"/>
      <c r="E35" s="60"/>
      <c r="F35" s="60"/>
      <c r="G35" s="60"/>
      <c r="H35" s="60"/>
      <c r="I35" s="60"/>
      <c r="J35" s="60"/>
      <c r="K35" s="60"/>
      <c r="L35" s="60"/>
    </row>
    <row r="36" spans="2:12">
      <c r="B36" s="49" t="s">
        <v>61</v>
      </c>
      <c r="C36" s="41" t="s">
        <v>2919</v>
      </c>
      <c r="D36" s="60"/>
      <c r="E36" s="60"/>
      <c r="F36" s="60"/>
      <c r="G36" s="60"/>
      <c r="H36" s="60"/>
      <c r="I36" s="60"/>
      <c r="J36" s="60"/>
      <c r="K36" s="60"/>
      <c r="L36" s="60"/>
    </row>
    <row r="37" spans="2:12">
      <c r="B37" s="49" t="s">
        <v>3810</v>
      </c>
      <c r="C37" s="41" t="s">
        <v>2921</v>
      </c>
      <c r="D37" s="60"/>
      <c r="E37" s="60"/>
      <c r="F37" s="60"/>
      <c r="G37" s="60"/>
      <c r="H37" s="60"/>
      <c r="I37" s="60"/>
      <c r="J37" s="60"/>
      <c r="K37" s="60"/>
      <c r="L37" s="60"/>
    </row>
    <row r="38" spans="2:12">
      <c r="B38" s="49" t="s">
        <v>3811</v>
      </c>
      <c r="C38" s="41" t="s">
        <v>2923</v>
      </c>
      <c r="D38" s="60"/>
      <c r="E38" s="60"/>
      <c r="F38" s="60"/>
      <c r="G38" s="60"/>
      <c r="H38" s="60"/>
      <c r="I38" s="60"/>
      <c r="J38" s="60"/>
      <c r="K38" s="60"/>
      <c r="L38" s="60"/>
    </row>
    <row r="39" spans="2:12">
      <c r="B39" s="49" t="s">
        <v>3812</v>
      </c>
      <c r="C39" s="41" t="s">
        <v>2925</v>
      </c>
      <c r="D39" s="60"/>
      <c r="E39" s="60"/>
      <c r="F39" s="60"/>
      <c r="G39" s="60"/>
      <c r="H39" s="60"/>
      <c r="I39" s="60"/>
      <c r="J39" s="60"/>
      <c r="K39" s="60"/>
      <c r="L39" s="60"/>
    </row>
    <row r="40" spans="2:12">
      <c r="B40" s="49" t="s">
        <v>3813</v>
      </c>
      <c r="C40" s="41" t="s">
        <v>2927</v>
      </c>
      <c r="D40" s="60"/>
      <c r="E40" s="60"/>
      <c r="F40" s="60"/>
      <c r="G40" s="60"/>
      <c r="H40" s="60"/>
      <c r="I40" s="60"/>
      <c r="J40" s="60"/>
      <c r="K40" s="60"/>
      <c r="L40" s="60"/>
    </row>
    <row r="41" spans="2:12">
      <c r="B41" s="49" t="s">
        <v>3814</v>
      </c>
      <c r="C41" s="41" t="s">
        <v>2929</v>
      </c>
      <c r="D41" s="60"/>
      <c r="E41" s="60"/>
      <c r="F41" s="60"/>
      <c r="G41" s="60"/>
      <c r="H41" s="60"/>
      <c r="I41" s="60"/>
      <c r="J41" s="60"/>
      <c r="K41" s="60"/>
      <c r="L41" s="60"/>
    </row>
    <row r="42" spans="2:12">
      <c r="B42" s="49" t="s">
        <v>3815</v>
      </c>
      <c r="C42" s="41" t="s">
        <v>2931</v>
      </c>
      <c r="D42" s="60"/>
      <c r="E42" s="60"/>
      <c r="F42" s="60"/>
      <c r="G42" s="60"/>
      <c r="H42" s="60"/>
      <c r="I42" s="60"/>
      <c r="J42" s="60"/>
      <c r="K42" s="60"/>
      <c r="L42" s="60"/>
    </row>
    <row r="43" spans="2:12">
      <c r="B43" s="49" t="s">
        <v>3816</v>
      </c>
      <c r="C43" s="41" t="s">
        <v>2933</v>
      </c>
      <c r="D43" s="60"/>
      <c r="E43" s="60"/>
      <c r="F43" s="60"/>
      <c r="G43" s="60"/>
      <c r="H43" s="60"/>
      <c r="I43" s="60"/>
      <c r="J43" s="60"/>
      <c r="K43" s="60"/>
      <c r="L43" s="60"/>
    </row>
    <row r="44" spans="2:12">
      <c r="B44" s="49" t="s">
        <v>3817</v>
      </c>
      <c r="C44" s="41" t="s">
        <v>2935</v>
      </c>
      <c r="D44" s="60"/>
      <c r="E44" s="60"/>
      <c r="F44" s="60"/>
      <c r="G44" s="60"/>
      <c r="H44" s="60"/>
      <c r="I44" s="60"/>
      <c r="J44" s="60"/>
      <c r="K44" s="60"/>
      <c r="L44" s="60"/>
    </row>
    <row r="45" spans="2:12">
      <c r="B45" s="49" t="s">
        <v>3818</v>
      </c>
      <c r="C45" s="41" t="s">
        <v>2937</v>
      </c>
      <c r="D45" s="60"/>
      <c r="E45" s="60"/>
      <c r="F45" s="60"/>
      <c r="G45" s="60"/>
      <c r="H45" s="60"/>
      <c r="I45" s="60"/>
      <c r="J45" s="60"/>
      <c r="K45" s="60"/>
      <c r="L45" s="60"/>
    </row>
    <row r="46" spans="2:12">
      <c r="B46" s="49" t="s">
        <v>3819</v>
      </c>
      <c r="C46" s="41" t="s">
        <v>2939</v>
      </c>
      <c r="D46" s="60"/>
      <c r="E46" s="60"/>
      <c r="F46" s="60"/>
      <c r="G46" s="60"/>
      <c r="H46" s="60"/>
      <c r="I46" s="60"/>
      <c r="J46" s="60"/>
      <c r="K46" s="60"/>
      <c r="L46" s="60"/>
    </row>
    <row r="47" spans="2:12">
      <c r="B47" s="49" t="s">
        <v>3944</v>
      </c>
      <c r="C47" s="41" t="s">
        <v>2941</v>
      </c>
      <c r="D47" s="60"/>
      <c r="E47" s="60"/>
      <c r="F47" s="60"/>
      <c r="G47" s="60"/>
      <c r="H47" s="60"/>
      <c r="I47" s="60"/>
      <c r="J47" s="60"/>
      <c r="K47" s="60"/>
      <c r="L47" s="60"/>
    </row>
    <row r="49" spans="23:24">
      <c r="W49" s="13" t="str">
        <f>Show!$B$86&amp;Show!$B$86&amp;"S.18.01.01.01 Rows {"&amp;COLUMN($C$1)&amp;"}"</f>
        <v>!!S.18.01.01.01 Rows {3}</v>
      </c>
      <c r="X49" s="13" t="str">
        <f>Show!$B$86&amp;Show!$B$86&amp;"S.18.01.01.01 Columns {"&amp;COLUMN($L$1)&amp;"}"</f>
        <v>!!S.18.01.01.01 Columns {12}</v>
      </c>
    </row>
  </sheetData>
  <sheetProtection sheet="1" objects="1" scenarios="1"/>
  <mergeCells count="10">
    <mergeCell ref="B2:O2"/>
    <mergeCell ref="B5:L5"/>
    <mergeCell ref="D9:L10"/>
    <mergeCell ref="D11:G11"/>
    <mergeCell ref="H11:K11"/>
    <mergeCell ref="L11:L13"/>
    <mergeCell ref="D12:E12"/>
    <mergeCell ref="F12:G12"/>
    <mergeCell ref="H12:I12"/>
    <mergeCell ref="J12:K12"/>
  </mergeCell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EA159-56EB-477A-A405-F9C737C587BF}">
  <sheetPr codeName="Blad91"/>
  <dimension ref="B2:Y679"/>
  <sheetViews>
    <sheetView showGridLines="0" workbookViewId="0"/>
  </sheetViews>
  <sheetFormatPr defaultRowHeight="15"/>
  <cols>
    <col min="2" max="2" width="44.85546875" bestFit="1" customWidth="1"/>
    <col min="4" max="4" width="40.7109375" customWidth="1"/>
    <col min="5" max="19" width="15.7109375" customWidth="1"/>
  </cols>
  <sheetData>
    <row r="2" spans="2:25" ht="23.25">
      <c r="B2" s="86" t="s">
        <v>642</v>
      </c>
      <c r="C2" s="87"/>
      <c r="D2" s="87"/>
      <c r="E2" s="87"/>
      <c r="F2" s="87"/>
      <c r="G2" s="87"/>
      <c r="H2" s="87"/>
      <c r="I2" s="87"/>
      <c r="J2" s="87"/>
      <c r="K2" s="87"/>
      <c r="L2" s="87"/>
      <c r="M2" s="87"/>
      <c r="N2" s="87"/>
      <c r="O2" s="87"/>
    </row>
    <row r="5" spans="2:25" ht="18.75">
      <c r="B5" s="88" t="s">
        <v>3945</v>
      </c>
      <c r="C5" s="87"/>
      <c r="D5" s="87"/>
      <c r="E5" s="87"/>
      <c r="F5" s="87"/>
      <c r="G5" s="87"/>
      <c r="H5" s="87"/>
      <c r="I5" s="87"/>
      <c r="J5" s="87"/>
      <c r="K5" s="87"/>
      <c r="L5" s="87"/>
    </row>
    <row r="7" spans="2:25">
      <c r="B7" t="s">
        <v>3110</v>
      </c>
      <c r="X7" s="13" t="str">
        <f>Show!$B$87&amp;"S.19.01.01.01 Table label {"&amp;COLUMN($C$1)&amp;"}"</f>
        <v>!S.19.01.01.01 Table label {3}</v>
      </c>
      <c r="Y7" s="13" t="str">
        <f>Show!$B$87&amp;"S.19.01.01.01 Table value {"&amp;COLUMN($D$1)&amp;"}"</f>
        <v>!S.19.01.01.01 Table value {4}</v>
      </c>
    </row>
    <row r="8" spans="2:25">
      <c r="B8" t="s">
        <v>3111</v>
      </c>
    </row>
    <row r="9" spans="2:25">
      <c r="B9" s="40" t="s">
        <v>3427</v>
      </c>
      <c r="C9" s="53" t="s">
        <v>3113</v>
      </c>
      <c r="D9" s="51"/>
    </row>
    <row r="10" spans="2:25">
      <c r="B10" s="40" t="s">
        <v>3868</v>
      </c>
      <c r="C10" s="53" t="s">
        <v>3115</v>
      </c>
      <c r="D10" s="51"/>
    </row>
    <row r="11" spans="2:25">
      <c r="B11" s="40" t="s">
        <v>3606</v>
      </c>
      <c r="C11" s="53" t="s">
        <v>3323</v>
      </c>
      <c r="D11" s="51"/>
    </row>
    <row r="12" spans="2:25">
      <c r="B12" s="40" t="s">
        <v>3874</v>
      </c>
      <c r="C12" s="53" t="s">
        <v>3875</v>
      </c>
      <c r="D12" s="51"/>
    </row>
    <row r="13" spans="2:25">
      <c r="X13" s="13" t="str">
        <f>Show!$B$87&amp;Show!$B$87&amp;"S.19.01.01.01 Table label {"&amp;COLUMN($C$1)&amp;"}"</f>
        <v>!!S.19.01.01.01 Table label {3}</v>
      </c>
      <c r="Y13" s="13" t="str">
        <f>Show!$B$87&amp;Show!$B$87&amp;"S.19.01.01.01 Table value {"&amp;COLUMN($D$1)&amp;"}"</f>
        <v>!!S.19.01.01.01 Table value {4}</v>
      </c>
    </row>
    <row r="15" spans="2:25">
      <c r="D15" s="92" t="s">
        <v>2877</v>
      </c>
      <c r="E15" s="93"/>
      <c r="F15" s="93"/>
      <c r="G15" s="93"/>
      <c r="H15" s="93"/>
      <c r="I15" s="93"/>
      <c r="J15" s="93"/>
      <c r="K15" s="93"/>
      <c r="L15" s="93"/>
      <c r="M15" s="93"/>
      <c r="N15" s="93"/>
      <c r="O15" s="93"/>
      <c r="P15" s="93"/>
      <c r="Q15" s="93"/>
      <c r="R15" s="93"/>
      <c r="S15" s="94"/>
    </row>
    <row r="16" spans="2:25">
      <c r="D16" s="95"/>
      <c r="E16" s="96"/>
      <c r="F16" s="96"/>
      <c r="G16" s="96"/>
      <c r="H16" s="96"/>
      <c r="I16" s="96"/>
      <c r="J16" s="96"/>
      <c r="K16" s="96"/>
      <c r="L16" s="96"/>
      <c r="M16" s="96"/>
      <c r="N16" s="96"/>
      <c r="O16" s="96"/>
      <c r="P16" s="96"/>
      <c r="Q16" s="96"/>
      <c r="R16" s="96"/>
      <c r="S16" s="97"/>
    </row>
    <row r="17" spans="2:25">
      <c r="D17" s="55">
        <v>0</v>
      </c>
      <c r="E17" s="55">
        <v>1</v>
      </c>
      <c r="F17" s="55">
        <v>2</v>
      </c>
      <c r="G17" s="55">
        <v>3</v>
      </c>
      <c r="H17" s="55">
        <v>4</v>
      </c>
      <c r="I17" s="55">
        <v>5</v>
      </c>
      <c r="J17" s="55">
        <v>6</v>
      </c>
      <c r="K17" s="55">
        <v>7</v>
      </c>
      <c r="L17" s="55">
        <v>8</v>
      </c>
      <c r="M17" s="55">
        <v>9</v>
      </c>
      <c r="N17" s="55">
        <v>10</v>
      </c>
      <c r="O17" s="55">
        <v>11</v>
      </c>
      <c r="P17" s="55">
        <v>12</v>
      </c>
      <c r="Q17" s="55">
        <v>13</v>
      </c>
      <c r="R17" s="55">
        <v>14</v>
      </c>
      <c r="S17" s="55" t="s">
        <v>3946</v>
      </c>
    </row>
    <row r="18" spans="2:25">
      <c r="D18" s="45" t="s">
        <v>2879</v>
      </c>
      <c r="E18" s="45" t="s">
        <v>3219</v>
      </c>
      <c r="F18" s="45" t="s">
        <v>3225</v>
      </c>
      <c r="G18" s="45" t="s">
        <v>3223</v>
      </c>
      <c r="H18" s="45" t="s">
        <v>3229</v>
      </c>
      <c r="I18" s="45" t="s">
        <v>3231</v>
      </c>
      <c r="J18" s="45" t="s">
        <v>3233</v>
      </c>
      <c r="K18" s="45" t="s">
        <v>3234</v>
      </c>
      <c r="L18" s="45" t="s">
        <v>3236</v>
      </c>
      <c r="M18" s="45" t="s">
        <v>3239</v>
      </c>
      <c r="N18" s="45" t="s">
        <v>3241</v>
      </c>
      <c r="O18" s="45" t="s">
        <v>3243</v>
      </c>
      <c r="P18" s="45" t="s">
        <v>3375</v>
      </c>
      <c r="Q18" s="45" t="s">
        <v>3475</v>
      </c>
      <c r="R18" s="45" t="s">
        <v>3477</v>
      </c>
      <c r="S18" s="45" t="s">
        <v>3479</v>
      </c>
      <c r="X18" s="13" t="str">
        <f>Show!$B$87&amp;"S.19.01.01.01 Rows {"&amp;COLUMN($C$1)&amp;"}"&amp;"@ForceFilingCode:true"</f>
        <v>!S.19.01.01.01 Rows {3}@ForceFilingCode:true</v>
      </c>
      <c r="Y18" s="13" t="str">
        <f>Show!$B$87&amp;"S.19.01.01.01 Columns {"&amp;COLUMN($D$1)&amp;"}"</f>
        <v>!S.19.01.01.01 Columns {4}</v>
      </c>
    </row>
    <row r="19" spans="2:25">
      <c r="B19" s="43" t="s">
        <v>2880</v>
      </c>
      <c r="C19" s="44" t="s">
        <v>2878</v>
      </c>
      <c r="D19" s="58"/>
      <c r="E19" s="67"/>
      <c r="F19" s="67"/>
      <c r="G19" s="67"/>
      <c r="H19" s="67"/>
      <c r="I19" s="67"/>
      <c r="J19" s="67"/>
      <c r="K19" s="67"/>
      <c r="L19" s="67"/>
      <c r="M19" s="67"/>
      <c r="N19" s="67"/>
      <c r="O19" s="67"/>
      <c r="P19" s="67"/>
      <c r="Q19" s="67"/>
      <c r="R19" s="67"/>
      <c r="S19" s="57"/>
    </row>
    <row r="20" spans="2:25">
      <c r="B20" s="47" t="s">
        <v>3947</v>
      </c>
      <c r="C20" s="44" t="s">
        <v>2899</v>
      </c>
      <c r="D20" s="56"/>
      <c r="E20" s="56"/>
      <c r="F20" s="56"/>
      <c r="G20" s="56"/>
      <c r="H20" s="56"/>
      <c r="I20" s="56"/>
      <c r="J20" s="56"/>
      <c r="K20" s="56"/>
      <c r="L20" s="56"/>
      <c r="M20" s="56"/>
      <c r="N20" s="56"/>
      <c r="O20" s="56"/>
      <c r="P20" s="56"/>
      <c r="Q20" s="56"/>
      <c r="R20" s="46"/>
      <c r="S20" s="63"/>
    </row>
    <row r="21" spans="2:25">
      <c r="B21" s="47" t="s">
        <v>3884</v>
      </c>
      <c r="C21" s="41" t="s">
        <v>2901</v>
      </c>
      <c r="D21" s="60"/>
      <c r="E21" s="60"/>
      <c r="F21" s="60"/>
      <c r="G21" s="60"/>
      <c r="H21" s="60"/>
      <c r="I21" s="60"/>
      <c r="J21" s="60"/>
      <c r="K21" s="60"/>
      <c r="L21" s="60"/>
      <c r="M21" s="60"/>
      <c r="N21" s="60"/>
      <c r="O21" s="60"/>
      <c r="P21" s="60"/>
      <c r="Q21" s="60"/>
      <c r="R21" s="65"/>
      <c r="S21" s="48"/>
    </row>
    <row r="22" spans="2:25">
      <c r="B22" s="47" t="s">
        <v>3885</v>
      </c>
      <c r="C22" s="41" t="s">
        <v>2903</v>
      </c>
      <c r="D22" s="60"/>
      <c r="E22" s="60"/>
      <c r="F22" s="60"/>
      <c r="G22" s="60"/>
      <c r="H22" s="60"/>
      <c r="I22" s="60"/>
      <c r="J22" s="60"/>
      <c r="K22" s="60"/>
      <c r="L22" s="60"/>
      <c r="M22" s="60"/>
      <c r="N22" s="60"/>
      <c r="O22" s="60"/>
      <c r="P22" s="60"/>
      <c r="Q22" s="65"/>
      <c r="R22" s="58"/>
      <c r="S22" s="48"/>
    </row>
    <row r="23" spans="2:25">
      <c r="B23" s="47" t="s">
        <v>3886</v>
      </c>
      <c r="C23" s="41" t="s">
        <v>2905</v>
      </c>
      <c r="D23" s="60"/>
      <c r="E23" s="60"/>
      <c r="F23" s="60"/>
      <c r="G23" s="60"/>
      <c r="H23" s="60"/>
      <c r="I23" s="60"/>
      <c r="J23" s="60"/>
      <c r="K23" s="60"/>
      <c r="L23" s="60"/>
      <c r="M23" s="60"/>
      <c r="N23" s="60"/>
      <c r="O23" s="60"/>
      <c r="P23" s="65"/>
      <c r="Q23" s="58"/>
      <c r="R23" s="58"/>
      <c r="S23" s="48"/>
    </row>
    <row r="24" spans="2:25">
      <c r="B24" s="47" t="s">
        <v>3887</v>
      </c>
      <c r="C24" s="41" t="s">
        <v>2907</v>
      </c>
      <c r="D24" s="60"/>
      <c r="E24" s="60"/>
      <c r="F24" s="60"/>
      <c r="G24" s="60"/>
      <c r="H24" s="60"/>
      <c r="I24" s="60"/>
      <c r="J24" s="60"/>
      <c r="K24" s="60"/>
      <c r="L24" s="60"/>
      <c r="M24" s="60"/>
      <c r="N24" s="60"/>
      <c r="O24" s="65"/>
      <c r="P24" s="58"/>
      <c r="Q24" s="58"/>
      <c r="R24" s="58"/>
      <c r="S24" s="48"/>
    </row>
    <row r="25" spans="2:25">
      <c r="B25" s="47" t="s">
        <v>3888</v>
      </c>
      <c r="C25" s="41" t="s">
        <v>2909</v>
      </c>
      <c r="D25" s="60"/>
      <c r="E25" s="60"/>
      <c r="F25" s="60"/>
      <c r="G25" s="60"/>
      <c r="H25" s="60"/>
      <c r="I25" s="60"/>
      <c r="J25" s="60"/>
      <c r="K25" s="60"/>
      <c r="L25" s="60"/>
      <c r="M25" s="60"/>
      <c r="N25" s="65"/>
      <c r="O25" s="58"/>
      <c r="P25" s="58"/>
      <c r="Q25" s="58"/>
      <c r="R25" s="58"/>
      <c r="S25" s="48"/>
    </row>
    <row r="26" spans="2:25">
      <c r="B26" s="47" t="s">
        <v>3889</v>
      </c>
      <c r="C26" s="41" t="s">
        <v>2911</v>
      </c>
      <c r="D26" s="60"/>
      <c r="E26" s="60"/>
      <c r="F26" s="60"/>
      <c r="G26" s="60"/>
      <c r="H26" s="60"/>
      <c r="I26" s="60"/>
      <c r="J26" s="60"/>
      <c r="K26" s="60"/>
      <c r="L26" s="60"/>
      <c r="M26" s="65"/>
      <c r="N26" s="58"/>
      <c r="O26" s="58"/>
      <c r="P26" s="58"/>
      <c r="Q26" s="58"/>
      <c r="R26" s="58"/>
      <c r="S26" s="48"/>
    </row>
    <row r="27" spans="2:25">
      <c r="B27" s="47" t="s">
        <v>3890</v>
      </c>
      <c r="C27" s="41" t="s">
        <v>2913</v>
      </c>
      <c r="D27" s="60"/>
      <c r="E27" s="60"/>
      <c r="F27" s="60"/>
      <c r="G27" s="60"/>
      <c r="H27" s="60"/>
      <c r="I27" s="60"/>
      <c r="J27" s="60"/>
      <c r="K27" s="60"/>
      <c r="L27" s="65"/>
      <c r="M27" s="58"/>
      <c r="N27" s="58"/>
      <c r="O27" s="58"/>
      <c r="P27" s="58"/>
      <c r="Q27" s="58"/>
      <c r="R27" s="58"/>
      <c r="S27" s="48"/>
    </row>
    <row r="28" spans="2:25">
      <c r="B28" s="47" t="s">
        <v>3891</v>
      </c>
      <c r="C28" s="41" t="s">
        <v>2915</v>
      </c>
      <c r="D28" s="60"/>
      <c r="E28" s="60"/>
      <c r="F28" s="60"/>
      <c r="G28" s="60"/>
      <c r="H28" s="60"/>
      <c r="I28" s="60"/>
      <c r="J28" s="60"/>
      <c r="K28" s="65"/>
      <c r="L28" s="58"/>
      <c r="M28" s="58"/>
      <c r="N28" s="58"/>
      <c r="O28" s="58"/>
      <c r="P28" s="58"/>
      <c r="Q28" s="58"/>
      <c r="R28" s="58"/>
      <c r="S28" s="48"/>
    </row>
    <row r="29" spans="2:25">
      <c r="B29" s="47" t="s">
        <v>3892</v>
      </c>
      <c r="C29" s="41" t="s">
        <v>2917</v>
      </c>
      <c r="D29" s="60"/>
      <c r="E29" s="60"/>
      <c r="F29" s="60"/>
      <c r="G29" s="60"/>
      <c r="H29" s="60"/>
      <c r="I29" s="60"/>
      <c r="J29" s="65"/>
      <c r="K29" s="58"/>
      <c r="L29" s="58"/>
      <c r="M29" s="58"/>
      <c r="N29" s="58"/>
      <c r="O29" s="58"/>
      <c r="P29" s="58"/>
      <c r="Q29" s="58"/>
      <c r="R29" s="58"/>
      <c r="S29" s="48"/>
    </row>
    <row r="30" spans="2:25">
      <c r="B30" s="47" t="s">
        <v>3893</v>
      </c>
      <c r="C30" s="41" t="s">
        <v>2919</v>
      </c>
      <c r="D30" s="60"/>
      <c r="E30" s="60"/>
      <c r="F30" s="60"/>
      <c r="G30" s="60"/>
      <c r="H30" s="60"/>
      <c r="I30" s="65"/>
      <c r="J30" s="58"/>
      <c r="K30" s="58"/>
      <c r="L30" s="58"/>
      <c r="M30" s="58"/>
      <c r="N30" s="58"/>
      <c r="O30" s="58"/>
      <c r="P30" s="58"/>
      <c r="Q30" s="58"/>
      <c r="R30" s="58"/>
      <c r="S30" s="48"/>
    </row>
    <row r="31" spans="2:25">
      <c r="B31" s="47" t="s">
        <v>3894</v>
      </c>
      <c r="C31" s="41" t="s">
        <v>2921</v>
      </c>
      <c r="D31" s="60"/>
      <c r="E31" s="60"/>
      <c r="F31" s="60"/>
      <c r="G31" s="60"/>
      <c r="H31" s="65"/>
      <c r="I31" s="58"/>
      <c r="J31" s="58"/>
      <c r="K31" s="58"/>
      <c r="L31" s="58"/>
      <c r="M31" s="58"/>
      <c r="N31" s="58"/>
      <c r="O31" s="58"/>
      <c r="P31" s="58"/>
      <c r="Q31" s="58"/>
      <c r="R31" s="58"/>
      <c r="S31" s="48"/>
    </row>
    <row r="32" spans="2:25">
      <c r="B32" s="47" t="s">
        <v>3895</v>
      </c>
      <c r="C32" s="41" t="s">
        <v>2923</v>
      </c>
      <c r="D32" s="60"/>
      <c r="E32" s="60"/>
      <c r="F32" s="60"/>
      <c r="G32" s="65"/>
      <c r="H32" s="58"/>
      <c r="I32" s="58"/>
      <c r="J32" s="58"/>
      <c r="K32" s="58"/>
      <c r="L32" s="58"/>
      <c r="M32" s="58"/>
      <c r="N32" s="58"/>
      <c r="O32" s="58"/>
      <c r="P32" s="58"/>
      <c r="Q32" s="58"/>
      <c r="R32" s="58"/>
      <c r="S32" s="48"/>
    </row>
    <row r="33" spans="2:25">
      <c r="B33" s="47" t="s">
        <v>3896</v>
      </c>
      <c r="C33" s="41" t="s">
        <v>2925</v>
      </c>
      <c r="D33" s="60"/>
      <c r="E33" s="60"/>
      <c r="F33" s="65"/>
      <c r="G33" s="58"/>
      <c r="H33" s="58"/>
      <c r="I33" s="58"/>
      <c r="J33" s="58"/>
      <c r="K33" s="58"/>
      <c r="L33" s="58"/>
      <c r="M33" s="58"/>
      <c r="N33" s="58"/>
      <c r="O33" s="58"/>
      <c r="P33" s="58"/>
      <c r="Q33" s="58"/>
      <c r="R33" s="58"/>
      <c r="S33" s="48"/>
    </row>
    <row r="34" spans="2:25">
      <c r="B34" s="47" t="s">
        <v>3897</v>
      </c>
      <c r="C34" s="41" t="s">
        <v>2927</v>
      </c>
      <c r="D34" s="60"/>
      <c r="E34" s="65"/>
      <c r="F34" s="58"/>
      <c r="G34" s="58"/>
      <c r="H34" s="58"/>
      <c r="I34" s="58"/>
      <c r="J34" s="58"/>
      <c r="K34" s="58"/>
      <c r="L34" s="58"/>
      <c r="M34" s="58"/>
      <c r="N34" s="58"/>
      <c r="O34" s="58"/>
      <c r="P34" s="58"/>
      <c r="Q34" s="58"/>
      <c r="R34" s="58"/>
      <c r="S34" s="48"/>
    </row>
    <row r="35" spans="2:25">
      <c r="B35" s="47" t="s">
        <v>3898</v>
      </c>
      <c r="C35" s="41" t="s">
        <v>2929</v>
      </c>
      <c r="D35" s="64"/>
      <c r="E35" s="56"/>
      <c r="F35" s="56"/>
      <c r="G35" s="56"/>
      <c r="H35" s="56"/>
      <c r="I35" s="56"/>
      <c r="J35" s="56"/>
      <c r="K35" s="56"/>
      <c r="L35" s="56"/>
      <c r="M35" s="56"/>
      <c r="N35" s="56"/>
      <c r="O35" s="56"/>
      <c r="P35" s="56"/>
      <c r="Q35" s="56"/>
      <c r="R35" s="56"/>
      <c r="S35" s="46"/>
    </row>
    <row r="37" spans="2:25">
      <c r="X37" s="13" t="str">
        <f>Show!$B$87&amp;Show!$B$87&amp;"S.19.01.01.01 Rows {"&amp;COLUMN($C$1)&amp;"}"</f>
        <v>!!S.19.01.01.01 Rows {3}</v>
      </c>
      <c r="Y37" s="13" t="str">
        <f>Show!$B$87&amp;Show!$B$87&amp;"S.19.01.01.01 Columns {"&amp;COLUMN($S$1)&amp;"}"</f>
        <v>!!S.19.01.01.01 Columns {19}</v>
      </c>
    </row>
    <row r="39" spans="2:25" ht="18.75">
      <c r="B39" s="88" t="s">
        <v>3948</v>
      </c>
      <c r="C39" s="87"/>
      <c r="D39" s="87"/>
      <c r="E39" s="87"/>
      <c r="F39" s="87"/>
      <c r="G39" s="87"/>
      <c r="H39" s="87"/>
      <c r="I39" s="87"/>
      <c r="J39" s="87"/>
      <c r="K39" s="87"/>
      <c r="L39" s="87"/>
    </row>
    <row r="41" spans="2:25">
      <c r="B41" t="s">
        <v>3110</v>
      </c>
      <c r="X41" s="13" t="str">
        <f>Show!$B$87&amp;"S.19.01.01.02 Table label {"&amp;COLUMN($C$1)&amp;"}"</f>
        <v>!S.19.01.01.02 Table label {3}</v>
      </c>
      <c r="Y41" s="13" t="str">
        <f>Show!$B$87&amp;"S.19.01.01.02 Table value {"&amp;COLUMN($D$1)&amp;"}"</f>
        <v>!S.19.01.01.02 Table value {4}</v>
      </c>
    </row>
    <row r="42" spans="2:25">
      <c r="B42" t="s">
        <v>3111</v>
      </c>
    </row>
    <row r="43" spans="2:25">
      <c r="B43" s="40" t="s">
        <v>3427</v>
      </c>
      <c r="C43" s="53" t="s">
        <v>3113</v>
      </c>
      <c r="D43" s="51"/>
    </row>
    <row r="44" spans="2:25">
      <c r="B44" s="40" t="s">
        <v>3868</v>
      </c>
      <c r="C44" s="53" t="s">
        <v>3115</v>
      </c>
      <c r="D44" s="51"/>
    </row>
    <row r="45" spans="2:25">
      <c r="B45" s="40" t="s">
        <v>3606</v>
      </c>
      <c r="C45" s="53" t="s">
        <v>3323</v>
      </c>
      <c r="D45" s="51"/>
    </row>
    <row r="46" spans="2:25">
      <c r="B46" s="40" t="s">
        <v>3874</v>
      </c>
      <c r="C46" s="53" t="s">
        <v>3875</v>
      </c>
      <c r="D46" s="51"/>
    </row>
    <row r="47" spans="2:25">
      <c r="X47" s="13" t="str">
        <f>Show!$B$87&amp;Show!$B$87&amp;"S.19.01.01.02 Table label {"&amp;COLUMN($C$1)&amp;"}"</f>
        <v>!!S.19.01.01.02 Table label {3}</v>
      </c>
      <c r="Y47" s="13" t="str">
        <f>Show!$B$87&amp;Show!$B$87&amp;"S.19.01.01.02 Table value {"&amp;COLUMN($D$1)&amp;"}"</f>
        <v>!!S.19.01.01.02 Table value {4}</v>
      </c>
    </row>
    <row r="49" spans="2:25">
      <c r="D49" s="92" t="s">
        <v>2877</v>
      </c>
      <c r="E49" s="94"/>
    </row>
    <row r="50" spans="2:25">
      <c r="D50" s="95"/>
      <c r="E50" s="97"/>
    </row>
    <row r="51" spans="2:25" ht="30">
      <c r="D51" s="55" t="s">
        <v>3949</v>
      </c>
      <c r="E51" s="55" t="s">
        <v>3950</v>
      </c>
    </row>
    <row r="52" spans="2:25">
      <c r="D52" s="45" t="s">
        <v>3594</v>
      </c>
      <c r="E52" s="45" t="s">
        <v>3596</v>
      </c>
      <c r="X52" s="13" t="str">
        <f>Show!$B$87&amp;"S.19.01.01.02 Rows {"&amp;COLUMN($C$1)&amp;"}"&amp;"@ForceFilingCode:true"</f>
        <v>!S.19.01.01.02 Rows {3}@ForceFilingCode:true</v>
      </c>
      <c r="Y52" s="13" t="str">
        <f>Show!$B$87&amp;"S.19.01.01.02 Columns {"&amp;COLUMN($D$1)&amp;"}"</f>
        <v>!S.19.01.01.02 Columns {4}</v>
      </c>
    </row>
    <row r="53" spans="2:25">
      <c r="B53" s="43" t="s">
        <v>2880</v>
      </c>
      <c r="C53" s="44" t="s">
        <v>2878</v>
      </c>
      <c r="D53" s="56"/>
      <c r="E53" s="57"/>
    </row>
    <row r="54" spans="2:25">
      <c r="B54" s="47" t="s">
        <v>3947</v>
      </c>
      <c r="C54" s="41" t="s">
        <v>2899</v>
      </c>
      <c r="D54" s="60"/>
      <c r="E54" s="60"/>
    </row>
    <row r="55" spans="2:25">
      <c r="B55" s="47" t="s">
        <v>3884</v>
      </c>
      <c r="C55" s="41" t="s">
        <v>2901</v>
      </c>
      <c r="D55" s="60"/>
      <c r="E55" s="60"/>
    </row>
    <row r="56" spans="2:25">
      <c r="B56" s="47" t="s">
        <v>3885</v>
      </c>
      <c r="C56" s="41" t="s">
        <v>2903</v>
      </c>
      <c r="D56" s="60"/>
      <c r="E56" s="60"/>
    </row>
    <row r="57" spans="2:25">
      <c r="B57" s="47" t="s">
        <v>3886</v>
      </c>
      <c r="C57" s="41" t="s">
        <v>2905</v>
      </c>
      <c r="D57" s="60"/>
      <c r="E57" s="60"/>
    </row>
    <row r="58" spans="2:25">
      <c r="B58" s="47" t="s">
        <v>3887</v>
      </c>
      <c r="C58" s="41" t="s">
        <v>2907</v>
      </c>
      <c r="D58" s="60"/>
      <c r="E58" s="60"/>
    </row>
    <row r="59" spans="2:25">
      <c r="B59" s="47" t="s">
        <v>3888</v>
      </c>
      <c r="C59" s="41" t="s">
        <v>2909</v>
      </c>
      <c r="D59" s="60"/>
      <c r="E59" s="60"/>
    </row>
    <row r="60" spans="2:25">
      <c r="B60" s="47" t="s">
        <v>3889</v>
      </c>
      <c r="C60" s="41" t="s">
        <v>2911</v>
      </c>
      <c r="D60" s="60"/>
      <c r="E60" s="60"/>
    </row>
    <row r="61" spans="2:25">
      <c r="B61" s="47" t="s">
        <v>3890</v>
      </c>
      <c r="C61" s="41" t="s">
        <v>2913</v>
      </c>
      <c r="D61" s="60"/>
      <c r="E61" s="60"/>
    </row>
    <row r="62" spans="2:25">
      <c r="B62" s="47" t="s">
        <v>3891</v>
      </c>
      <c r="C62" s="41" t="s">
        <v>2915</v>
      </c>
      <c r="D62" s="60"/>
      <c r="E62" s="60"/>
    </row>
    <row r="63" spans="2:25">
      <c r="B63" s="47" t="s">
        <v>3892</v>
      </c>
      <c r="C63" s="41" t="s">
        <v>2917</v>
      </c>
      <c r="D63" s="60"/>
      <c r="E63" s="60"/>
    </row>
    <row r="64" spans="2:25">
      <c r="B64" s="47" t="s">
        <v>3893</v>
      </c>
      <c r="C64" s="41" t="s">
        <v>2919</v>
      </c>
      <c r="D64" s="60"/>
      <c r="E64" s="60"/>
    </row>
    <row r="65" spans="2:25">
      <c r="B65" s="47" t="s">
        <v>3894</v>
      </c>
      <c r="C65" s="41" t="s">
        <v>2921</v>
      </c>
      <c r="D65" s="60"/>
      <c r="E65" s="60"/>
    </row>
    <row r="66" spans="2:25">
      <c r="B66" s="47" t="s">
        <v>3895</v>
      </c>
      <c r="C66" s="41" t="s">
        <v>2923</v>
      </c>
      <c r="D66" s="60"/>
      <c r="E66" s="60"/>
    </row>
    <row r="67" spans="2:25">
      <c r="B67" s="47" t="s">
        <v>3896</v>
      </c>
      <c r="C67" s="41" t="s">
        <v>2925</v>
      </c>
      <c r="D67" s="60"/>
      <c r="E67" s="60"/>
    </row>
    <row r="68" spans="2:25">
      <c r="B68" s="47" t="s">
        <v>3897</v>
      </c>
      <c r="C68" s="41" t="s">
        <v>2927</v>
      </c>
      <c r="D68" s="60"/>
      <c r="E68" s="60"/>
    </row>
    <row r="69" spans="2:25">
      <c r="B69" s="47" t="s">
        <v>3898</v>
      </c>
      <c r="C69" s="41" t="s">
        <v>2929</v>
      </c>
      <c r="D69" s="60"/>
      <c r="E69" s="60"/>
    </row>
    <row r="70" spans="2:25">
      <c r="B70" s="47" t="s">
        <v>3480</v>
      </c>
      <c r="C70" s="41" t="s">
        <v>2931</v>
      </c>
      <c r="D70" s="60"/>
      <c r="E70" s="60"/>
    </row>
    <row r="72" spans="2:25">
      <c r="X72" s="13" t="str">
        <f>Show!$B$87&amp;Show!$B$87&amp;"S.19.01.01.02 Rows {"&amp;COLUMN($C$1)&amp;"}"</f>
        <v>!!S.19.01.01.02 Rows {3}</v>
      </c>
      <c r="Y72" s="13" t="str">
        <f>Show!$B$87&amp;Show!$B$87&amp;"S.19.01.01.02 Columns {"&amp;COLUMN($E$1)&amp;"}"</f>
        <v>!!S.19.01.01.02 Columns {5}</v>
      </c>
    </row>
    <row r="74" spans="2:25" ht="18.75">
      <c r="B74" s="88" t="s">
        <v>3951</v>
      </c>
      <c r="C74" s="87"/>
      <c r="D74" s="87"/>
      <c r="E74" s="87"/>
      <c r="F74" s="87"/>
      <c r="G74" s="87"/>
      <c r="H74" s="87"/>
      <c r="I74" s="87"/>
      <c r="J74" s="87"/>
      <c r="K74" s="87"/>
      <c r="L74" s="87"/>
    </row>
    <row r="76" spans="2:25">
      <c r="B76" t="s">
        <v>3110</v>
      </c>
      <c r="X76" s="13" t="str">
        <f>Show!$B$87&amp;"S.19.01.01.03 Table label {"&amp;COLUMN($C$1)&amp;"}"</f>
        <v>!S.19.01.01.03 Table label {3}</v>
      </c>
      <c r="Y76" s="13" t="str">
        <f>Show!$B$87&amp;"S.19.01.01.03 Table value {"&amp;COLUMN($D$1)&amp;"}"</f>
        <v>!S.19.01.01.03 Table value {4}</v>
      </c>
    </row>
    <row r="77" spans="2:25">
      <c r="B77" t="s">
        <v>3111</v>
      </c>
    </row>
    <row r="78" spans="2:25">
      <c r="B78" s="40" t="s">
        <v>3427</v>
      </c>
      <c r="C78" s="53" t="s">
        <v>3113</v>
      </c>
      <c r="D78" s="51"/>
    </row>
    <row r="79" spans="2:25">
      <c r="B79" s="40" t="s">
        <v>3868</v>
      </c>
      <c r="C79" s="53" t="s">
        <v>3115</v>
      </c>
      <c r="D79" s="51"/>
    </row>
    <row r="80" spans="2:25">
      <c r="B80" s="40" t="s">
        <v>3606</v>
      </c>
      <c r="C80" s="53" t="s">
        <v>3323</v>
      </c>
      <c r="D80" s="51"/>
    </row>
    <row r="81" spans="2:25">
      <c r="B81" s="40" t="s">
        <v>3874</v>
      </c>
      <c r="C81" s="53" t="s">
        <v>3875</v>
      </c>
      <c r="D81" s="51"/>
    </row>
    <row r="82" spans="2:25">
      <c r="X82" s="13" t="str">
        <f>Show!$B$87&amp;Show!$B$87&amp;"S.19.01.01.03 Table label {"&amp;COLUMN($C$1)&amp;"}"</f>
        <v>!!S.19.01.01.03 Table label {3}</v>
      </c>
      <c r="Y82" s="13" t="str">
        <f>Show!$B$87&amp;Show!$B$87&amp;"S.19.01.01.03 Table value {"&amp;COLUMN($D$1)&amp;"}"</f>
        <v>!!S.19.01.01.03 Table value {4}</v>
      </c>
    </row>
    <row r="84" spans="2:25">
      <c r="D84" s="92" t="s">
        <v>2877</v>
      </c>
      <c r="E84" s="93"/>
      <c r="F84" s="93"/>
      <c r="G84" s="93"/>
      <c r="H84" s="93"/>
      <c r="I84" s="93"/>
      <c r="J84" s="93"/>
      <c r="K84" s="93"/>
      <c r="L84" s="93"/>
      <c r="M84" s="93"/>
      <c r="N84" s="93"/>
      <c r="O84" s="93"/>
      <c r="P84" s="93"/>
      <c r="Q84" s="93"/>
      <c r="R84" s="93"/>
      <c r="S84" s="94"/>
    </row>
    <row r="85" spans="2:25">
      <c r="D85" s="95"/>
      <c r="E85" s="96"/>
      <c r="F85" s="96"/>
      <c r="G85" s="96"/>
      <c r="H85" s="96"/>
      <c r="I85" s="96"/>
      <c r="J85" s="96"/>
      <c r="K85" s="96"/>
      <c r="L85" s="96"/>
      <c r="M85" s="96"/>
      <c r="N85" s="96"/>
      <c r="O85" s="96"/>
      <c r="P85" s="96"/>
      <c r="Q85" s="96"/>
      <c r="R85" s="96"/>
      <c r="S85" s="97"/>
    </row>
    <row r="86" spans="2:25">
      <c r="D86" s="55">
        <v>0</v>
      </c>
      <c r="E86" s="55">
        <v>1</v>
      </c>
      <c r="F86" s="55">
        <v>2</v>
      </c>
      <c r="G86" s="55">
        <v>3</v>
      </c>
      <c r="H86" s="55">
        <v>4</v>
      </c>
      <c r="I86" s="55">
        <v>5</v>
      </c>
      <c r="J86" s="55">
        <v>6</v>
      </c>
      <c r="K86" s="55">
        <v>7</v>
      </c>
      <c r="L86" s="55">
        <v>8</v>
      </c>
      <c r="M86" s="55">
        <v>9</v>
      </c>
      <c r="N86" s="55">
        <v>10</v>
      </c>
      <c r="O86" s="55">
        <v>11</v>
      </c>
      <c r="P86" s="55">
        <v>12</v>
      </c>
      <c r="Q86" s="55">
        <v>13</v>
      </c>
      <c r="R86" s="55">
        <v>14</v>
      </c>
      <c r="S86" s="55" t="s">
        <v>3946</v>
      </c>
    </row>
    <row r="87" spans="2:25">
      <c r="D87" s="45" t="s">
        <v>3481</v>
      </c>
      <c r="E87" s="45" t="s">
        <v>3508</v>
      </c>
      <c r="F87" s="45" t="s">
        <v>3509</v>
      </c>
      <c r="G87" s="45" t="s">
        <v>3511</v>
      </c>
      <c r="H87" s="45" t="s">
        <v>3513</v>
      </c>
      <c r="I87" s="45" t="s">
        <v>3514</v>
      </c>
      <c r="J87" s="45" t="s">
        <v>3515</v>
      </c>
      <c r="K87" s="45" t="s">
        <v>3517</v>
      </c>
      <c r="L87" s="45" t="s">
        <v>3518</v>
      </c>
      <c r="M87" s="45" t="s">
        <v>3608</v>
      </c>
      <c r="N87" s="45" t="s">
        <v>3519</v>
      </c>
      <c r="O87" s="45" t="s">
        <v>3612</v>
      </c>
      <c r="P87" s="45" t="s">
        <v>3614</v>
      </c>
      <c r="Q87" s="45" t="s">
        <v>3616</v>
      </c>
      <c r="R87" s="45" t="s">
        <v>3618</v>
      </c>
      <c r="S87" s="45" t="s">
        <v>3620</v>
      </c>
      <c r="X87" s="13" t="str">
        <f>Show!$B$87&amp;"S.19.01.01.03 Rows {"&amp;COLUMN($C$1)&amp;"}"&amp;"@ForceFilingCode:true"</f>
        <v>!S.19.01.01.03 Rows {3}@ForceFilingCode:true</v>
      </c>
      <c r="Y87" s="13" t="str">
        <f>Show!$B$87&amp;"S.19.01.01.03 Columns {"&amp;COLUMN($D$1)&amp;"}"</f>
        <v>!S.19.01.01.03 Columns {4}</v>
      </c>
    </row>
    <row r="88" spans="2:25">
      <c r="B88" s="43" t="s">
        <v>2880</v>
      </c>
      <c r="C88" s="44" t="s">
        <v>2878</v>
      </c>
      <c r="D88" s="58"/>
      <c r="E88" s="67"/>
      <c r="F88" s="67"/>
      <c r="G88" s="67"/>
      <c r="H88" s="67"/>
      <c r="I88" s="67"/>
      <c r="J88" s="67"/>
      <c r="K88" s="67"/>
      <c r="L88" s="67"/>
      <c r="M88" s="67"/>
      <c r="N88" s="67"/>
      <c r="O88" s="67"/>
      <c r="P88" s="67"/>
      <c r="Q88" s="67"/>
      <c r="R88" s="67"/>
      <c r="S88" s="57"/>
    </row>
    <row r="89" spans="2:25">
      <c r="B89" s="47" t="s">
        <v>3947</v>
      </c>
      <c r="C89" s="44" t="s">
        <v>2899</v>
      </c>
      <c r="D89" s="56"/>
      <c r="E89" s="56"/>
      <c r="F89" s="56"/>
      <c r="G89" s="56"/>
      <c r="H89" s="56"/>
      <c r="I89" s="56"/>
      <c r="J89" s="56"/>
      <c r="K89" s="56"/>
      <c r="L89" s="56"/>
      <c r="M89" s="56"/>
      <c r="N89" s="56"/>
      <c r="O89" s="56"/>
      <c r="P89" s="56"/>
      <c r="Q89" s="56"/>
      <c r="R89" s="46"/>
      <c r="S89" s="63"/>
    </row>
    <row r="90" spans="2:25">
      <c r="B90" s="47" t="s">
        <v>3884</v>
      </c>
      <c r="C90" s="41" t="s">
        <v>2901</v>
      </c>
      <c r="D90" s="60"/>
      <c r="E90" s="60"/>
      <c r="F90" s="60"/>
      <c r="G90" s="60"/>
      <c r="H90" s="60"/>
      <c r="I90" s="60"/>
      <c r="J90" s="60"/>
      <c r="K90" s="60"/>
      <c r="L90" s="60"/>
      <c r="M90" s="60"/>
      <c r="N90" s="60"/>
      <c r="O90" s="60"/>
      <c r="P90" s="60"/>
      <c r="Q90" s="60"/>
      <c r="R90" s="65"/>
      <c r="S90" s="48"/>
    </row>
    <row r="91" spans="2:25">
      <c r="B91" s="47" t="s">
        <v>3885</v>
      </c>
      <c r="C91" s="41" t="s">
        <v>2903</v>
      </c>
      <c r="D91" s="60"/>
      <c r="E91" s="60"/>
      <c r="F91" s="60"/>
      <c r="G91" s="60"/>
      <c r="H91" s="60"/>
      <c r="I91" s="60"/>
      <c r="J91" s="60"/>
      <c r="K91" s="60"/>
      <c r="L91" s="60"/>
      <c r="M91" s="60"/>
      <c r="N91" s="60"/>
      <c r="O91" s="60"/>
      <c r="P91" s="60"/>
      <c r="Q91" s="65"/>
      <c r="R91" s="58"/>
      <c r="S91" s="48"/>
    </row>
    <row r="92" spans="2:25">
      <c r="B92" s="47" t="s">
        <v>3886</v>
      </c>
      <c r="C92" s="41" t="s">
        <v>2905</v>
      </c>
      <c r="D92" s="60"/>
      <c r="E92" s="60"/>
      <c r="F92" s="60"/>
      <c r="G92" s="60"/>
      <c r="H92" s="60"/>
      <c r="I92" s="60"/>
      <c r="J92" s="60"/>
      <c r="K92" s="60"/>
      <c r="L92" s="60"/>
      <c r="M92" s="60"/>
      <c r="N92" s="60"/>
      <c r="O92" s="60"/>
      <c r="P92" s="65"/>
      <c r="Q92" s="58"/>
      <c r="R92" s="58"/>
      <c r="S92" s="48"/>
    </row>
    <row r="93" spans="2:25">
      <c r="B93" s="47" t="s">
        <v>3887</v>
      </c>
      <c r="C93" s="41" t="s">
        <v>2907</v>
      </c>
      <c r="D93" s="60"/>
      <c r="E93" s="60"/>
      <c r="F93" s="60"/>
      <c r="G93" s="60"/>
      <c r="H93" s="60"/>
      <c r="I93" s="60"/>
      <c r="J93" s="60"/>
      <c r="K93" s="60"/>
      <c r="L93" s="60"/>
      <c r="M93" s="60"/>
      <c r="N93" s="60"/>
      <c r="O93" s="65"/>
      <c r="P93" s="58"/>
      <c r="Q93" s="58"/>
      <c r="R93" s="58"/>
      <c r="S93" s="48"/>
    </row>
    <row r="94" spans="2:25">
      <c r="B94" s="47" t="s">
        <v>3888</v>
      </c>
      <c r="C94" s="41" t="s">
        <v>2909</v>
      </c>
      <c r="D94" s="60"/>
      <c r="E94" s="60"/>
      <c r="F94" s="60"/>
      <c r="G94" s="60"/>
      <c r="H94" s="60"/>
      <c r="I94" s="60"/>
      <c r="J94" s="60"/>
      <c r="K94" s="60"/>
      <c r="L94" s="60"/>
      <c r="M94" s="60"/>
      <c r="N94" s="65"/>
      <c r="O94" s="58"/>
      <c r="P94" s="58"/>
      <c r="Q94" s="58"/>
      <c r="R94" s="58"/>
      <c r="S94" s="48"/>
    </row>
    <row r="95" spans="2:25">
      <c r="B95" s="47" t="s">
        <v>3889</v>
      </c>
      <c r="C95" s="41" t="s">
        <v>2911</v>
      </c>
      <c r="D95" s="60"/>
      <c r="E95" s="60"/>
      <c r="F95" s="60"/>
      <c r="G95" s="60"/>
      <c r="H95" s="60"/>
      <c r="I95" s="60"/>
      <c r="J95" s="60"/>
      <c r="K95" s="60"/>
      <c r="L95" s="60"/>
      <c r="M95" s="65"/>
      <c r="N95" s="58"/>
      <c r="O95" s="58"/>
      <c r="P95" s="58"/>
      <c r="Q95" s="58"/>
      <c r="R95" s="58"/>
      <c r="S95" s="48"/>
    </row>
    <row r="96" spans="2:25">
      <c r="B96" s="47" t="s">
        <v>3890</v>
      </c>
      <c r="C96" s="41" t="s">
        <v>2913</v>
      </c>
      <c r="D96" s="60"/>
      <c r="E96" s="60"/>
      <c r="F96" s="60"/>
      <c r="G96" s="60"/>
      <c r="H96" s="60"/>
      <c r="I96" s="60"/>
      <c r="J96" s="60"/>
      <c r="K96" s="60"/>
      <c r="L96" s="65"/>
      <c r="M96" s="58"/>
      <c r="N96" s="58"/>
      <c r="O96" s="58"/>
      <c r="P96" s="58"/>
      <c r="Q96" s="58"/>
      <c r="R96" s="58"/>
      <c r="S96" s="48"/>
    </row>
    <row r="97" spans="2:25">
      <c r="B97" s="47" t="s">
        <v>3891</v>
      </c>
      <c r="C97" s="41" t="s">
        <v>2915</v>
      </c>
      <c r="D97" s="60"/>
      <c r="E97" s="60"/>
      <c r="F97" s="60"/>
      <c r="G97" s="60"/>
      <c r="H97" s="60"/>
      <c r="I97" s="60"/>
      <c r="J97" s="60"/>
      <c r="K97" s="65"/>
      <c r="L97" s="58"/>
      <c r="M97" s="58"/>
      <c r="N97" s="58"/>
      <c r="O97" s="58"/>
      <c r="P97" s="58"/>
      <c r="Q97" s="58"/>
      <c r="R97" s="58"/>
      <c r="S97" s="48"/>
    </row>
    <row r="98" spans="2:25">
      <c r="B98" s="47" t="s">
        <v>3892</v>
      </c>
      <c r="C98" s="41" t="s">
        <v>2917</v>
      </c>
      <c r="D98" s="60"/>
      <c r="E98" s="60"/>
      <c r="F98" s="60"/>
      <c r="G98" s="60"/>
      <c r="H98" s="60"/>
      <c r="I98" s="60"/>
      <c r="J98" s="65"/>
      <c r="K98" s="58"/>
      <c r="L98" s="58"/>
      <c r="M98" s="58"/>
      <c r="N98" s="58"/>
      <c r="O98" s="58"/>
      <c r="P98" s="58"/>
      <c r="Q98" s="58"/>
      <c r="R98" s="58"/>
      <c r="S98" s="48"/>
    </row>
    <row r="99" spans="2:25">
      <c r="B99" s="47" t="s">
        <v>3893</v>
      </c>
      <c r="C99" s="41" t="s">
        <v>2919</v>
      </c>
      <c r="D99" s="60"/>
      <c r="E99" s="60"/>
      <c r="F99" s="60"/>
      <c r="G99" s="60"/>
      <c r="H99" s="60"/>
      <c r="I99" s="65"/>
      <c r="J99" s="58"/>
      <c r="K99" s="58"/>
      <c r="L99" s="58"/>
      <c r="M99" s="58"/>
      <c r="N99" s="58"/>
      <c r="O99" s="58"/>
      <c r="P99" s="58"/>
      <c r="Q99" s="58"/>
      <c r="R99" s="58"/>
      <c r="S99" s="48"/>
    </row>
    <row r="100" spans="2:25">
      <c r="B100" s="47" t="s">
        <v>3894</v>
      </c>
      <c r="C100" s="41" t="s">
        <v>2921</v>
      </c>
      <c r="D100" s="60"/>
      <c r="E100" s="60"/>
      <c r="F100" s="60"/>
      <c r="G100" s="60"/>
      <c r="H100" s="65"/>
      <c r="I100" s="58"/>
      <c r="J100" s="58"/>
      <c r="K100" s="58"/>
      <c r="L100" s="58"/>
      <c r="M100" s="58"/>
      <c r="N100" s="58"/>
      <c r="O100" s="58"/>
      <c r="P100" s="58"/>
      <c r="Q100" s="58"/>
      <c r="R100" s="58"/>
      <c r="S100" s="48"/>
    </row>
    <row r="101" spans="2:25">
      <c r="B101" s="47" t="s">
        <v>3895</v>
      </c>
      <c r="C101" s="41" t="s">
        <v>2923</v>
      </c>
      <c r="D101" s="60"/>
      <c r="E101" s="60"/>
      <c r="F101" s="60"/>
      <c r="G101" s="65"/>
      <c r="H101" s="58"/>
      <c r="I101" s="58"/>
      <c r="J101" s="58"/>
      <c r="K101" s="58"/>
      <c r="L101" s="58"/>
      <c r="M101" s="58"/>
      <c r="N101" s="58"/>
      <c r="O101" s="58"/>
      <c r="P101" s="58"/>
      <c r="Q101" s="58"/>
      <c r="R101" s="58"/>
      <c r="S101" s="48"/>
    </row>
    <row r="102" spans="2:25">
      <c r="B102" s="47" t="s">
        <v>3896</v>
      </c>
      <c r="C102" s="41" t="s">
        <v>2925</v>
      </c>
      <c r="D102" s="60"/>
      <c r="E102" s="60"/>
      <c r="F102" s="65"/>
      <c r="G102" s="58"/>
      <c r="H102" s="58"/>
      <c r="I102" s="58"/>
      <c r="J102" s="58"/>
      <c r="K102" s="58"/>
      <c r="L102" s="58"/>
      <c r="M102" s="58"/>
      <c r="N102" s="58"/>
      <c r="O102" s="58"/>
      <c r="P102" s="58"/>
      <c r="Q102" s="58"/>
      <c r="R102" s="58"/>
      <c r="S102" s="48"/>
    </row>
    <row r="103" spans="2:25">
      <c r="B103" s="47" t="s">
        <v>3897</v>
      </c>
      <c r="C103" s="41" t="s">
        <v>2927</v>
      </c>
      <c r="D103" s="60"/>
      <c r="E103" s="65"/>
      <c r="F103" s="58"/>
      <c r="G103" s="58"/>
      <c r="H103" s="58"/>
      <c r="I103" s="58"/>
      <c r="J103" s="58"/>
      <c r="K103" s="58"/>
      <c r="L103" s="58"/>
      <c r="M103" s="58"/>
      <c r="N103" s="58"/>
      <c r="O103" s="58"/>
      <c r="P103" s="58"/>
      <c r="Q103" s="58"/>
      <c r="R103" s="58"/>
      <c r="S103" s="48"/>
    </row>
    <row r="104" spans="2:25">
      <c r="B104" s="47" t="s">
        <v>3898</v>
      </c>
      <c r="C104" s="41" t="s">
        <v>2929</v>
      </c>
      <c r="D104" s="64"/>
      <c r="E104" s="56"/>
      <c r="F104" s="56"/>
      <c r="G104" s="56"/>
      <c r="H104" s="56"/>
      <c r="I104" s="56"/>
      <c r="J104" s="56"/>
      <c r="K104" s="56"/>
      <c r="L104" s="56"/>
      <c r="M104" s="56"/>
      <c r="N104" s="56"/>
      <c r="O104" s="56"/>
      <c r="P104" s="56"/>
      <c r="Q104" s="56"/>
      <c r="R104" s="56"/>
      <c r="S104" s="46"/>
    </row>
    <row r="106" spans="2:25">
      <c r="X106" s="13" t="str">
        <f>Show!$B$87&amp;Show!$B$87&amp;"S.19.01.01.03 Rows {"&amp;COLUMN($C$1)&amp;"}"</f>
        <v>!!S.19.01.01.03 Rows {3}</v>
      </c>
      <c r="Y106" s="13" t="str">
        <f>Show!$B$87&amp;Show!$B$87&amp;"S.19.01.01.03 Columns {"&amp;COLUMN($S$1)&amp;"}"</f>
        <v>!!S.19.01.01.03 Columns {19}</v>
      </c>
    </row>
    <row r="108" spans="2:25" ht="18.75">
      <c r="B108" s="88" t="s">
        <v>3952</v>
      </c>
      <c r="C108" s="87"/>
      <c r="D108" s="87"/>
      <c r="E108" s="87"/>
      <c r="F108" s="87"/>
      <c r="G108" s="87"/>
      <c r="H108" s="87"/>
      <c r="I108" s="87"/>
      <c r="J108" s="87"/>
      <c r="K108" s="87"/>
      <c r="L108" s="87"/>
    </row>
    <row r="110" spans="2:25">
      <c r="B110" t="s">
        <v>3110</v>
      </c>
      <c r="X110" s="13" t="str">
        <f>Show!$B$87&amp;"S.19.01.01.04 Table label {"&amp;COLUMN($C$1)&amp;"}"</f>
        <v>!S.19.01.01.04 Table label {3}</v>
      </c>
      <c r="Y110" s="13" t="str">
        <f>Show!$B$87&amp;"S.19.01.01.04 Table value {"&amp;COLUMN($D$1)&amp;"}"</f>
        <v>!S.19.01.01.04 Table value {4}</v>
      </c>
    </row>
    <row r="111" spans="2:25">
      <c r="B111" t="s">
        <v>3111</v>
      </c>
    </row>
    <row r="112" spans="2:25">
      <c r="B112" s="40" t="s">
        <v>3427</v>
      </c>
      <c r="C112" s="53" t="s">
        <v>3113</v>
      </c>
      <c r="D112" s="51"/>
    </row>
    <row r="113" spans="2:25">
      <c r="B113" s="40" t="s">
        <v>3868</v>
      </c>
      <c r="C113" s="53" t="s">
        <v>3115</v>
      </c>
      <c r="D113" s="51"/>
    </row>
    <row r="114" spans="2:25">
      <c r="B114" s="40" t="s">
        <v>3606</v>
      </c>
      <c r="C114" s="53" t="s">
        <v>3323</v>
      </c>
      <c r="D114" s="51"/>
    </row>
    <row r="115" spans="2:25">
      <c r="B115" s="40" t="s">
        <v>3874</v>
      </c>
      <c r="C115" s="53" t="s">
        <v>3875</v>
      </c>
      <c r="D115" s="51"/>
    </row>
    <row r="116" spans="2:25">
      <c r="X116" s="13" t="str">
        <f>Show!$B$87&amp;Show!$B$87&amp;"S.19.01.01.04 Table label {"&amp;COLUMN($C$1)&amp;"}"</f>
        <v>!!S.19.01.01.04 Table label {3}</v>
      </c>
      <c r="Y116" s="13" t="str">
        <f>Show!$B$87&amp;Show!$B$87&amp;"S.19.01.01.04 Table value {"&amp;COLUMN($D$1)&amp;"}"</f>
        <v>!!S.19.01.01.04 Table value {4}</v>
      </c>
    </row>
    <row r="118" spans="2:25">
      <c r="D118" s="89" t="s">
        <v>2877</v>
      </c>
    </row>
    <row r="119" spans="2:25">
      <c r="D119" s="91"/>
    </row>
    <row r="120" spans="2:25">
      <c r="D120" s="55" t="s">
        <v>3953</v>
      </c>
    </row>
    <row r="121" spans="2:25">
      <c r="D121" s="45" t="s">
        <v>3622</v>
      </c>
      <c r="X121" s="13" t="str">
        <f>Show!$B$87&amp;"S.19.01.01.04 Rows {"&amp;COLUMN($C$1)&amp;"}"&amp;"@ForceFilingCode:true"</f>
        <v>!S.19.01.01.04 Rows {3}@ForceFilingCode:true</v>
      </c>
      <c r="Y121" s="13" t="str">
        <f>Show!$B$87&amp;"S.19.01.01.04 Columns {"&amp;COLUMN($D$1)&amp;"}"</f>
        <v>!S.19.01.01.04 Columns {4}</v>
      </c>
    </row>
    <row r="122" spans="2:25">
      <c r="B122" s="43" t="s">
        <v>2880</v>
      </c>
      <c r="C122" s="44" t="s">
        <v>2878</v>
      </c>
      <c r="D122" s="46"/>
    </row>
    <row r="123" spans="2:25">
      <c r="B123" s="47" t="s">
        <v>3947</v>
      </c>
      <c r="C123" s="41" t="s">
        <v>2899</v>
      </c>
      <c r="D123" s="60"/>
    </row>
    <row r="124" spans="2:25">
      <c r="B124" s="47" t="s">
        <v>3884</v>
      </c>
      <c r="C124" s="41" t="s">
        <v>2901</v>
      </c>
      <c r="D124" s="60"/>
    </row>
    <row r="125" spans="2:25">
      <c r="B125" s="47" t="s">
        <v>3885</v>
      </c>
      <c r="C125" s="41" t="s">
        <v>2903</v>
      </c>
      <c r="D125" s="60"/>
    </row>
    <row r="126" spans="2:25">
      <c r="B126" s="47" t="s">
        <v>3886</v>
      </c>
      <c r="C126" s="41" t="s">
        <v>2905</v>
      </c>
      <c r="D126" s="60"/>
    </row>
    <row r="127" spans="2:25">
      <c r="B127" s="47" t="s">
        <v>3887</v>
      </c>
      <c r="C127" s="41" t="s">
        <v>2907</v>
      </c>
      <c r="D127" s="60"/>
    </row>
    <row r="128" spans="2:25">
      <c r="B128" s="47" t="s">
        <v>3888</v>
      </c>
      <c r="C128" s="41" t="s">
        <v>2909</v>
      </c>
      <c r="D128" s="60"/>
    </row>
    <row r="129" spans="2:25">
      <c r="B129" s="47" t="s">
        <v>3889</v>
      </c>
      <c r="C129" s="41" t="s">
        <v>2911</v>
      </c>
      <c r="D129" s="60"/>
    </row>
    <row r="130" spans="2:25">
      <c r="B130" s="47" t="s">
        <v>3890</v>
      </c>
      <c r="C130" s="41" t="s">
        <v>2913</v>
      </c>
      <c r="D130" s="60"/>
    </row>
    <row r="131" spans="2:25">
      <c r="B131" s="47" t="s">
        <v>3891</v>
      </c>
      <c r="C131" s="41" t="s">
        <v>2915</v>
      </c>
      <c r="D131" s="60"/>
    </row>
    <row r="132" spans="2:25">
      <c r="B132" s="47" t="s">
        <v>3892</v>
      </c>
      <c r="C132" s="41" t="s">
        <v>2917</v>
      </c>
      <c r="D132" s="60"/>
    </row>
    <row r="133" spans="2:25">
      <c r="B133" s="47" t="s">
        <v>3893</v>
      </c>
      <c r="C133" s="41" t="s">
        <v>2919</v>
      </c>
      <c r="D133" s="60"/>
    </row>
    <row r="134" spans="2:25">
      <c r="B134" s="47" t="s">
        <v>3894</v>
      </c>
      <c r="C134" s="41" t="s">
        <v>2921</v>
      </c>
      <c r="D134" s="60"/>
    </row>
    <row r="135" spans="2:25">
      <c r="B135" s="47" t="s">
        <v>3895</v>
      </c>
      <c r="C135" s="41" t="s">
        <v>2923</v>
      </c>
      <c r="D135" s="60"/>
    </row>
    <row r="136" spans="2:25">
      <c r="B136" s="47" t="s">
        <v>3896</v>
      </c>
      <c r="C136" s="41" t="s">
        <v>2925</v>
      </c>
      <c r="D136" s="60"/>
    </row>
    <row r="137" spans="2:25">
      <c r="B137" s="47" t="s">
        <v>3897</v>
      </c>
      <c r="C137" s="41" t="s">
        <v>2927</v>
      </c>
      <c r="D137" s="60"/>
    </row>
    <row r="138" spans="2:25">
      <c r="B138" s="47" t="s">
        <v>3898</v>
      </c>
      <c r="C138" s="41" t="s">
        <v>2929</v>
      </c>
      <c r="D138" s="60"/>
    </row>
    <row r="139" spans="2:25">
      <c r="B139" s="47" t="s">
        <v>3480</v>
      </c>
      <c r="C139" s="41" t="s">
        <v>2931</v>
      </c>
      <c r="D139" s="60"/>
    </row>
    <row r="141" spans="2:25">
      <c r="X141" s="13" t="str">
        <f>Show!$B$87&amp;Show!$B$87&amp;"S.19.01.01.04 Rows {"&amp;COLUMN($C$1)&amp;"}"</f>
        <v>!!S.19.01.01.04 Rows {3}</v>
      </c>
      <c r="Y141" s="13" t="str">
        <f>Show!$B$87&amp;Show!$B$87&amp;"S.19.01.01.04 Columns {"&amp;COLUMN($D$1)&amp;"}"</f>
        <v>!!S.19.01.01.04 Columns {4}</v>
      </c>
    </row>
    <row r="143" spans="2:25" ht="18.75">
      <c r="B143" s="88" t="s">
        <v>3954</v>
      </c>
      <c r="C143" s="87"/>
      <c r="D143" s="87"/>
      <c r="E143" s="87"/>
      <c r="F143" s="87"/>
      <c r="G143" s="87"/>
      <c r="H143" s="87"/>
      <c r="I143" s="87"/>
      <c r="J143" s="87"/>
      <c r="K143" s="87"/>
      <c r="L143" s="87"/>
    </row>
    <row r="145" spans="2:25">
      <c r="B145" t="s">
        <v>3110</v>
      </c>
      <c r="X145" s="13" t="str">
        <f>Show!$B$87&amp;"S.19.01.01.05 Table label {"&amp;COLUMN($C$1)&amp;"}"</f>
        <v>!S.19.01.01.05 Table label {3}</v>
      </c>
      <c r="Y145" s="13" t="str">
        <f>Show!$B$87&amp;"S.19.01.01.05 Table value {"&amp;COLUMN($D$1)&amp;"}"</f>
        <v>!S.19.01.01.05 Table value {4}</v>
      </c>
    </row>
    <row r="146" spans="2:25">
      <c r="B146" t="s">
        <v>3111</v>
      </c>
    </row>
    <row r="147" spans="2:25">
      <c r="B147" s="40" t="s">
        <v>3427</v>
      </c>
      <c r="C147" s="53" t="s">
        <v>3113</v>
      </c>
      <c r="D147" s="51"/>
    </row>
    <row r="148" spans="2:25">
      <c r="B148" s="40" t="s">
        <v>3868</v>
      </c>
      <c r="C148" s="53" t="s">
        <v>3115</v>
      </c>
      <c r="D148" s="51"/>
    </row>
    <row r="149" spans="2:25">
      <c r="B149" s="40" t="s">
        <v>3606</v>
      </c>
      <c r="C149" s="53" t="s">
        <v>3323</v>
      </c>
      <c r="D149" s="51"/>
    </row>
    <row r="150" spans="2:25">
      <c r="B150" s="40" t="s">
        <v>3874</v>
      </c>
      <c r="C150" s="53" t="s">
        <v>3875</v>
      </c>
      <c r="D150" s="51"/>
    </row>
    <row r="151" spans="2:25">
      <c r="X151" s="13" t="str">
        <f>Show!$B$87&amp;Show!$B$87&amp;"S.19.01.01.05 Table label {"&amp;COLUMN($C$1)&amp;"}"</f>
        <v>!!S.19.01.01.05 Table label {3}</v>
      </c>
      <c r="Y151" s="13" t="str">
        <f>Show!$B$87&amp;Show!$B$87&amp;"S.19.01.01.05 Table value {"&amp;COLUMN($D$1)&amp;"}"</f>
        <v>!!S.19.01.01.05 Table value {4}</v>
      </c>
    </row>
    <row r="153" spans="2:25">
      <c r="D153" s="92" t="s">
        <v>2877</v>
      </c>
      <c r="E153" s="93"/>
      <c r="F153" s="93"/>
      <c r="G153" s="93"/>
      <c r="H153" s="93"/>
      <c r="I153" s="93"/>
      <c r="J153" s="93"/>
      <c r="K153" s="93"/>
      <c r="L153" s="93"/>
      <c r="M153" s="93"/>
      <c r="N153" s="93"/>
      <c r="O153" s="93"/>
      <c r="P153" s="93"/>
      <c r="Q153" s="93"/>
      <c r="R153" s="93"/>
      <c r="S153" s="94"/>
    </row>
    <row r="154" spans="2:25">
      <c r="D154" s="95"/>
      <c r="E154" s="96"/>
      <c r="F154" s="96"/>
      <c r="G154" s="96"/>
      <c r="H154" s="96"/>
      <c r="I154" s="96"/>
      <c r="J154" s="96"/>
      <c r="K154" s="96"/>
      <c r="L154" s="96"/>
      <c r="M154" s="96"/>
      <c r="N154" s="96"/>
      <c r="O154" s="96"/>
      <c r="P154" s="96"/>
      <c r="Q154" s="96"/>
      <c r="R154" s="96"/>
      <c r="S154" s="97"/>
    </row>
    <row r="155" spans="2:25">
      <c r="D155" s="55">
        <v>0</v>
      </c>
      <c r="E155" s="55">
        <v>1</v>
      </c>
      <c r="F155" s="55">
        <v>2</v>
      </c>
      <c r="G155" s="55">
        <v>3</v>
      </c>
      <c r="H155" s="55">
        <v>4</v>
      </c>
      <c r="I155" s="55">
        <v>5</v>
      </c>
      <c r="J155" s="55">
        <v>6</v>
      </c>
      <c r="K155" s="55">
        <v>7</v>
      </c>
      <c r="L155" s="55">
        <v>8</v>
      </c>
      <c r="M155" s="55">
        <v>9</v>
      </c>
      <c r="N155" s="55">
        <v>10</v>
      </c>
      <c r="O155" s="55">
        <v>11</v>
      </c>
      <c r="P155" s="55">
        <v>12</v>
      </c>
      <c r="Q155" s="55">
        <v>13</v>
      </c>
      <c r="R155" s="55">
        <v>14</v>
      </c>
      <c r="S155" s="55" t="s">
        <v>3946</v>
      </c>
    </row>
    <row r="156" spans="2:25">
      <c r="D156" s="45" t="s">
        <v>3634</v>
      </c>
      <c r="E156" s="45" t="s">
        <v>3636</v>
      </c>
      <c r="F156" s="45" t="s">
        <v>3701</v>
      </c>
      <c r="G156" s="45" t="s">
        <v>3702</v>
      </c>
      <c r="H156" s="45" t="s">
        <v>3675</v>
      </c>
      <c r="I156" s="45" t="s">
        <v>3955</v>
      </c>
      <c r="J156" s="45" t="s">
        <v>3956</v>
      </c>
      <c r="K156" s="45" t="s">
        <v>3957</v>
      </c>
      <c r="L156" s="45" t="s">
        <v>3958</v>
      </c>
      <c r="M156" s="45" t="s">
        <v>3959</v>
      </c>
      <c r="N156" s="45" t="s">
        <v>3960</v>
      </c>
      <c r="O156" s="45" t="s">
        <v>3961</v>
      </c>
      <c r="P156" s="45" t="s">
        <v>3962</v>
      </c>
      <c r="Q156" s="45" t="s">
        <v>3963</v>
      </c>
      <c r="R156" s="45" t="s">
        <v>3964</v>
      </c>
      <c r="S156" s="45" t="s">
        <v>3965</v>
      </c>
      <c r="X156" s="13" t="str">
        <f>Show!$B$87&amp;"S.19.01.01.05 Rows {"&amp;COLUMN($C$1)&amp;"}"&amp;"@ForceFilingCode:true"</f>
        <v>!S.19.01.01.05 Rows {3}@ForceFilingCode:true</v>
      </c>
      <c r="Y156" s="13" t="str">
        <f>Show!$B$87&amp;"S.19.01.01.05 Columns {"&amp;COLUMN($D$1)&amp;"}"</f>
        <v>!S.19.01.01.05 Columns {4}</v>
      </c>
    </row>
    <row r="157" spans="2:25">
      <c r="B157" s="43" t="s">
        <v>2880</v>
      </c>
      <c r="C157" s="44" t="s">
        <v>2878</v>
      </c>
      <c r="D157" s="58"/>
      <c r="E157" s="67"/>
      <c r="F157" s="67"/>
      <c r="G157" s="67"/>
      <c r="H157" s="67"/>
      <c r="I157" s="67"/>
      <c r="J157" s="67"/>
      <c r="K157" s="67"/>
      <c r="L157" s="67"/>
      <c r="M157" s="67"/>
      <c r="N157" s="67"/>
      <c r="O157" s="67"/>
      <c r="P157" s="67"/>
      <c r="Q157" s="67"/>
      <c r="R157" s="67"/>
      <c r="S157" s="57"/>
    </row>
    <row r="158" spans="2:25">
      <c r="B158" s="47" t="s">
        <v>3947</v>
      </c>
      <c r="C158" s="44" t="s">
        <v>2899</v>
      </c>
      <c r="D158" s="56"/>
      <c r="E158" s="56"/>
      <c r="F158" s="56"/>
      <c r="G158" s="56"/>
      <c r="H158" s="56"/>
      <c r="I158" s="56"/>
      <c r="J158" s="56"/>
      <c r="K158" s="56"/>
      <c r="L158" s="56"/>
      <c r="M158" s="56"/>
      <c r="N158" s="56"/>
      <c r="O158" s="56"/>
      <c r="P158" s="56"/>
      <c r="Q158" s="56"/>
      <c r="R158" s="46"/>
      <c r="S158" s="63"/>
    </row>
    <row r="159" spans="2:25">
      <c r="B159" s="47" t="s">
        <v>3884</v>
      </c>
      <c r="C159" s="41" t="s">
        <v>2901</v>
      </c>
      <c r="D159" s="60"/>
      <c r="E159" s="60"/>
      <c r="F159" s="60"/>
      <c r="G159" s="60"/>
      <c r="H159" s="60"/>
      <c r="I159" s="60"/>
      <c r="J159" s="60"/>
      <c r="K159" s="60"/>
      <c r="L159" s="60"/>
      <c r="M159" s="60"/>
      <c r="N159" s="60"/>
      <c r="O159" s="60"/>
      <c r="P159" s="60"/>
      <c r="Q159" s="60"/>
      <c r="R159" s="65"/>
      <c r="S159" s="48"/>
    </row>
    <row r="160" spans="2:25">
      <c r="B160" s="47" t="s">
        <v>3885</v>
      </c>
      <c r="C160" s="41" t="s">
        <v>2903</v>
      </c>
      <c r="D160" s="60"/>
      <c r="E160" s="60"/>
      <c r="F160" s="60"/>
      <c r="G160" s="60"/>
      <c r="H160" s="60"/>
      <c r="I160" s="60"/>
      <c r="J160" s="60"/>
      <c r="K160" s="60"/>
      <c r="L160" s="60"/>
      <c r="M160" s="60"/>
      <c r="N160" s="60"/>
      <c r="O160" s="60"/>
      <c r="P160" s="60"/>
      <c r="Q160" s="65"/>
      <c r="R160" s="58"/>
      <c r="S160" s="48"/>
    </row>
    <row r="161" spans="2:25">
      <c r="B161" s="47" t="s">
        <v>3886</v>
      </c>
      <c r="C161" s="41" t="s">
        <v>2905</v>
      </c>
      <c r="D161" s="60"/>
      <c r="E161" s="60"/>
      <c r="F161" s="60"/>
      <c r="G161" s="60"/>
      <c r="H161" s="60"/>
      <c r="I161" s="60"/>
      <c r="J161" s="60"/>
      <c r="K161" s="60"/>
      <c r="L161" s="60"/>
      <c r="M161" s="60"/>
      <c r="N161" s="60"/>
      <c r="O161" s="60"/>
      <c r="P161" s="65"/>
      <c r="Q161" s="58"/>
      <c r="R161" s="58"/>
      <c r="S161" s="48"/>
    </row>
    <row r="162" spans="2:25">
      <c r="B162" s="47" t="s">
        <v>3887</v>
      </c>
      <c r="C162" s="41" t="s">
        <v>2907</v>
      </c>
      <c r="D162" s="60"/>
      <c r="E162" s="60"/>
      <c r="F162" s="60"/>
      <c r="G162" s="60"/>
      <c r="H162" s="60"/>
      <c r="I162" s="60"/>
      <c r="J162" s="60"/>
      <c r="K162" s="60"/>
      <c r="L162" s="60"/>
      <c r="M162" s="60"/>
      <c r="N162" s="60"/>
      <c r="O162" s="65"/>
      <c r="P162" s="58"/>
      <c r="Q162" s="58"/>
      <c r="R162" s="58"/>
      <c r="S162" s="48"/>
    </row>
    <row r="163" spans="2:25">
      <c r="B163" s="47" t="s">
        <v>3888</v>
      </c>
      <c r="C163" s="41" t="s">
        <v>2909</v>
      </c>
      <c r="D163" s="60"/>
      <c r="E163" s="60"/>
      <c r="F163" s="60"/>
      <c r="G163" s="60"/>
      <c r="H163" s="60"/>
      <c r="I163" s="60"/>
      <c r="J163" s="60"/>
      <c r="K163" s="60"/>
      <c r="L163" s="60"/>
      <c r="M163" s="60"/>
      <c r="N163" s="65"/>
      <c r="O163" s="58"/>
      <c r="P163" s="58"/>
      <c r="Q163" s="58"/>
      <c r="R163" s="58"/>
      <c r="S163" s="48"/>
    </row>
    <row r="164" spans="2:25">
      <c r="B164" s="47" t="s">
        <v>3889</v>
      </c>
      <c r="C164" s="41" t="s">
        <v>2911</v>
      </c>
      <c r="D164" s="60"/>
      <c r="E164" s="60"/>
      <c r="F164" s="60"/>
      <c r="G164" s="60"/>
      <c r="H164" s="60"/>
      <c r="I164" s="60"/>
      <c r="J164" s="60"/>
      <c r="K164" s="60"/>
      <c r="L164" s="60"/>
      <c r="M164" s="65"/>
      <c r="N164" s="58"/>
      <c r="O164" s="58"/>
      <c r="P164" s="58"/>
      <c r="Q164" s="58"/>
      <c r="R164" s="58"/>
      <c r="S164" s="48"/>
    </row>
    <row r="165" spans="2:25">
      <c r="B165" s="47" t="s">
        <v>3890</v>
      </c>
      <c r="C165" s="41" t="s">
        <v>2913</v>
      </c>
      <c r="D165" s="60"/>
      <c r="E165" s="60"/>
      <c r="F165" s="60"/>
      <c r="G165" s="60"/>
      <c r="H165" s="60"/>
      <c r="I165" s="60"/>
      <c r="J165" s="60"/>
      <c r="K165" s="60"/>
      <c r="L165" s="65"/>
      <c r="M165" s="58"/>
      <c r="N165" s="58"/>
      <c r="O165" s="58"/>
      <c r="P165" s="58"/>
      <c r="Q165" s="58"/>
      <c r="R165" s="58"/>
      <c r="S165" s="48"/>
    </row>
    <row r="166" spans="2:25">
      <c r="B166" s="47" t="s">
        <v>3891</v>
      </c>
      <c r="C166" s="41" t="s">
        <v>2915</v>
      </c>
      <c r="D166" s="60"/>
      <c r="E166" s="60"/>
      <c r="F166" s="60"/>
      <c r="G166" s="60"/>
      <c r="H166" s="60"/>
      <c r="I166" s="60"/>
      <c r="J166" s="60"/>
      <c r="K166" s="65"/>
      <c r="L166" s="58"/>
      <c r="M166" s="58"/>
      <c r="N166" s="58"/>
      <c r="O166" s="58"/>
      <c r="P166" s="58"/>
      <c r="Q166" s="58"/>
      <c r="R166" s="58"/>
      <c r="S166" s="48"/>
    </row>
    <row r="167" spans="2:25">
      <c r="B167" s="47" t="s">
        <v>3892</v>
      </c>
      <c r="C167" s="41" t="s">
        <v>2917</v>
      </c>
      <c r="D167" s="60"/>
      <c r="E167" s="60"/>
      <c r="F167" s="60"/>
      <c r="G167" s="60"/>
      <c r="H167" s="60"/>
      <c r="I167" s="60"/>
      <c r="J167" s="65"/>
      <c r="K167" s="58"/>
      <c r="L167" s="58"/>
      <c r="M167" s="58"/>
      <c r="N167" s="58"/>
      <c r="O167" s="58"/>
      <c r="P167" s="58"/>
      <c r="Q167" s="58"/>
      <c r="R167" s="58"/>
      <c r="S167" s="48"/>
    </row>
    <row r="168" spans="2:25">
      <c r="B168" s="47" t="s">
        <v>3893</v>
      </c>
      <c r="C168" s="41" t="s">
        <v>2919</v>
      </c>
      <c r="D168" s="60"/>
      <c r="E168" s="60"/>
      <c r="F168" s="60"/>
      <c r="G168" s="60"/>
      <c r="H168" s="60"/>
      <c r="I168" s="65"/>
      <c r="J168" s="58"/>
      <c r="K168" s="58"/>
      <c r="L168" s="58"/>
      <c r="M168" s="58"/>
      <c r="N168" s="58"/>
      <c r="O168" s="58"/>
      <c r="P168" s="58"/>
      <c r="Q168" s="58"/>
      <c r="R168" s="58"/>
      <c r="S168" s="48"/>
    </row>
    <row r="169" spans="2:25">
      <c r="B169" s="47" t="s">
        <v>3894</v>
      </c>
      <c r="C169" s="41" t="s">
        <v>2921</v>
      </c>
      <c r="D169" s="60"/>
      <c r="E169" s="60"/>
      <c r="F169" s="60"/>
      <c r="G169" s="60"/>
      <c r="H169" s="65"/>
      <c r="I169" s="58"/>
      <c r="J169" s="58"/>
      <c r="K169" s="58"/>
      <c r="L169" s="58"/>
      <c r="M169" s="58"/>
      <c r="N169" s="58"/>
      <c r="O169" s="58"/>
      <c r="P169" s="58"/>
      <c r="Q169" s="58"/>
      <c r="R169" s="58"/>
      <c r="S169" s="48"/>
    </row>
    <row r="170" spans="2:25">
      <c r="B170" s="47" t="s">
        <v>3895</v>
      </c>
      <c r="C170" s="41" t="s">
        <v>2923</v>
      </c>
      <c r="D170" s="60"/>
      <c r="E170" s="60"/>
      <c r="F170" s="60"/>
      <c r="G170" s="65"/>
      <c r="H170" s="58"/>
      <c r="I170" s="58"/>
      <c r="J170" s="58"/>
      <c r="K170" s="58"/>
      <c r="L170" s="58"/>
      <c r="M170" s="58"/>
      <c r="N170" s="58"/>
      <c r="O170" s="58"/>
      <c r="P170" s="58"/>
      <c r="Q170" s="58"/>
      <c r="R170" s="58"/>
      <c r="S170" s="48"/>
    </row>
    <row r="171" spans="2:25">
      <c r="B171" s="47" t="s">
        <v>3896</v>
      </c>
      <c r="C171" s="41" t="s">
        <v>2925</v>
      </c>
      <c r="D171" s="60"/>
      <c r="E171" s="60"/>
      <c r="F171" s="65"/>
      <c r="G171" s="58"/>
      <c r="H171" s="58"/>
      <c r="I171" s="58"/>
      <c r="J171" s="58"/>
      <c r="K171" s="58"/>
      <c r="L171" s="58"/>
      <c r="M171" s="58"/>
      <c r="N171" s="58"/>
      <c r="O171" s="58"/>
      <c r="P171" s="58"/>
      <c r="Q171" s="58"/>
      <c r="R171" s="58"/>
      <c r="S171" s="48"/>
    </row>
    <row r="172" spans="2:25">
      <c r="B172" s="47" t="s">
        <v>3897</v>
      </c>
      <c r="C172" s="41" t="s">
        <v>2927</v>
      </c>
      <c r="D172" s="60"/>
      <c r="E172" s="65"/>
      <c r="F172" s="58"/>
      <c r="G172" s="58"/>
      <c r="H172" s="58"/>
      <c r="I172" s="58"/>
      <c r="J172" s="58"/>
      <c r="K172" s="58"/>
      <c r="L172" s="58"/>
      <c r="M172" s="58"/>
      <c r="N172" s="58"/>
      <c r="O172" s="58"/>
      <c r="P172" s="58"/>
      <c r="Q172" s="58"/>
      <c r="R172" s="58"/>
      <c r="S172" s="48"/>
    </row>
    <row r="173" spans="2:25">
      <c r="B173" s="47" t="s">
        <v>3898</v>
      </c>
      <c r="C173" s="41" t="s">
        <v>2929</v>
      </c>
      <c r="D173" s="64"/>
      <c r="E173" s="56"/>
      <c r="F173" s="56"/>
      <c r="G173" s="56"/>
      <c r="H173" s="56"/>
      <c r="I173" s="56"/>
      <c r="J173" s="56"/>
      <c r="K173" s="56"/>
      <c r="L173" s="56"/>
      <c r="M173" s="56"/>
      <c r="N173" s="56"/>
      <c r="O173" s="56"/>
      <c r="P173" s="56"/>
      <c r="Q173" s="56"/>
      <c r="R173" s="56"/>
      <c r="S173" s="46"/>
    </row>
    <row r="175" spans="2:25">
      <c r="X175" s="13" t="str">
        <f>Show!$B$87&amp;Show!$B$87&amp;"S.19.01.01.05 Rows {"&amp;COLUMN($C$1)&amp;"}"</f>
        <v>!!S.19.01.01.05 Rows {3}</v>
      </c>
      <c r="Y175" s="13" t="str">
        <f>Show!$B$87&amp;Show!$B$87&amp;"S.19.01.01.05 Columns {"&amp;COLUMN($S$1)&amp;"}"</f>
        <v>!!S.19.01.01.05 Columns {19}</v>
      </c>
    </row>
    <row r="177" spans="2:25" ht="18.75">
      <c r="B177" s="88" t="s">
        <v>3966</v>
      </c>
      <c r="C177" s="87"/>
      <c r="D177" s="87"/>
      <c r="E177" s="87"/>
      <c r="F177" s="87"/>
      <c r="G177" s="87"/>
      <c r="H177" s="87"/>
      <c r="I177" s="87"/>
      <c r="J177" s="87"/>
      <c r="K177" s="87"/>
      <c r="L177" s="87"/>
    </row>
    <row r="179" spans="2:25">
      <c r="B179" t="s">
        <v>3110</v>
      </c>
      <c r="X179" s="13" t="str">
        <f>Show!$B$87&amp;"S.19.01.01.06 Table label {"&amp;COLUMN($C$1)&amp;"}"</f>
        <v>!S.19.01.01.06 Table label {3}</v>
      </c>
      <c r="Y179" s="13" t="str">
        <f>Show!$B$87&amp;"S.19.01.01.06 Table value {"&amp;COLUMN($D$1)&amp;"}"</f>
        <v>!S.19.01.01.06 Table value {4}</v>
      </c>
    </row>
    <row r="180" spans="2:25">
      <c r="B180" t="s">
        <v>3111</v>
      </c>
    </row>
    <row r="181" spans="2:25">
      <c r="B181" s="40" t="s">
        <v>3427</v>
      </c>
      <c r="C181" s="53" t="s">
        <v>3113</v>
      </c>
      <c r="D181" s="51"/>
    </row>
    <row r="182" spans="2:25">
      <c r="B182" s="40" t="s">
        <v>3868</v>
      </c>
      <c r="C182" s="53" t="s">
        <v>3115</v>
      </c>
      <c r="D182" s="51"/>
    </row>
    <row r="183" spans="2:25">
      <c r="B183" s="40" t="s">
        <v>3606</v>
      </c>
      <c r="C183" s="53" t="s">
        <v>3323</v>
      </c>
      <c r="D183" s="51"/>
    </row>
    <row r="184" spans="2:25">
      <c r="B184" s="40" t="s">
        <v>3874</v>
      </c>
      <c r="C184" s="53" t="s">
        <v>3875</v>
      </c>
      <c r="D184" s="51"/>
    </row>
    <row r="185" spans="2:25">
      <c r="X185" s="13" t="str">
        <f>Show!$B$87&amp;Show!$B$87&amp;"S.19.01.01.06 Table label {"&amp;COLUMN($C$1)&amp;"}"</f>
        <v>!!S.19.01.01.06 Table label {3}</v>
      </c>
      <c r="Y185" s="13" t="str">
        <f>Show!$B$87&amp;Show!$B$87&amp;"S.19.01.01.06 Table value {"&amp;COLUMN($D$1)&amp;"}"</f>
        <v>!!S.19.01.01.06 Table value {4}</v>
      </c>
    </row>
    <row r="187" spans="2:25">
      <c r="D187" s="89" t="s">
        <v>2877</v>
      </c>
    </row>
    <row r="188" spans="2:25">
      <c r="D188" s="91"/>
    </row>
    <row r="189" spans="2:25">
      <c r="D189" s="55" t="s">
        <v>3953</v>
      </c>
    </row>
    <row r="190" spans="2:25">
      <c r="D190" s="45" t="s">
        <v>3967</v>
      </c>
      <c r="X190" s="13" t="str">
        <f>Show!$B$87&amp;"S.19.01.01.06 Rows {"&amp;COLUMN($C$1)&amp;"}"&amp;"@ForceFilingCode:true"</f>
        <v>!S.19.01.01.06 Rows {3}@ForceFilingCode:true</v>
      </c>
      <c r="Y190" s="13" t="str">
        <f>Show!$B$87&amp;"S.19.01.01.06 Columns {"&amp;COLUMN($D$1)&amp;"}"</f>
        <v>!S.19.01.01.06 Columns {4}</v>
      </c>
    </row>
    <row r="191" spans="2:25">
      <c r="B191" s="43" t="s">
        <v>2880</v>
      </c>
      <c r="C191" s="44" t="s">
        <v>2878</v>
      </c>
      <c r="D191" s="46"/>
    </row>
    <row r="192" spans="2:25">
      <c r="B192" s="47" t="s">
        <v>3947</v>
      </c>
      <c r="C192" s="41" t="s">
        <v>2899</v>
      </c>
      <c r="D192" s="60"/>
    </row>
    <row r="193" spans="2:4">
      <c r="B193" s="47" t="s">
        <v>3884</v>
      </c>
      <c r="C193" s="41" t="s">
        <v>2901</v>
      </c>
      <c r="D193" s="60"/>
    </row>
    <row r="194" spans="2:4">
      <c r="B194" s="47" t="s">
        <v>3885</v>
      </c>
      <c r="C194" s="41" t="s">
        <v>2903</v>
      </c>
      <c r="D194" s="60"/>
    </row>
    <row r="195" spans="2:4">
      <c r="B195" s="47" t="s">
        <v>3886</v>
      </c>
      <c r="C195" s="41" t="s">
        <v>2905</v>
      </c>
      <c r="D195" s="60"/>
    </row>
    <row r="196" spans="2:4">
      <c r="B196" s="47" t="s">
        <v>3887</v>
      </c>
      <c r="C196" s="41" t="s">
        <v>2907</v>
      </c>
      <c r="D196" s="60"/>
    </row>
    <row r="197" spans="2:4">
      <c r="B197" s="47" t="s">
        <v>3888</v>
      </c>
      <c r="C197" s="41" t="s">
        <v>2909</v>
      </c>
      <c r="D197" s="60"/>
    </row>
    <row r="198" spans="2:4">
      <c r="B198" s="47" t="s">
        <v>3889</v>
      </c>
      <c r="C198" s="41" t="s">
        <v>2911</v>
      </c>
      <c r="D198" s="60"/>
    </row>
    <row r="199" spans="2:4">
      <c r="B199" s="47" t="s">
        <v>3890</v>
      </c>
      <c r="C199" s="41" t="s">
        <v>2913</v>
      </c>
      <c r="D199" s="60"/>
    </row>
    <row r="200" spans="2:4">
      <c r="B200" s="47" t="s">
        <v>3891</v>
      </c>
      <c r="C200" s="41" t="s">
        <v>2915</v>
      </c>
      <c r="D200" s="60"/>
    </row>
    <row r="201" spans="2:4">
      <c r="B201" s="47" t="s">
        <v>3892</v>
      </c>
      <c r="C201" s="41" t="s">
        <v>2917</v>
      </c>
      <c r="D201" s="60"/>
    </row>
    <row r="202" spans="2:4">
      <c r="B202" s="47" t="s">
        <v>3893</v>
      </c>
      <c r="C202" s="41" t="s">
        <v>2919</v>
      </c>
      <c r="D202" s="60"/>
    </row>
    <row r="203" spans="2:4">
      <c r="B203" s="47" t="s">
        <v>3894</v>
      </c>
      <c r="C203" s="41" t="s">
        <v>2921</v>
      </c>
      <c r="D203" s="60"/>
    </row>
    <row r="204" spans="2:4">
      <c r="B204" s="47" t="s">
        <v>3895</v>
      </c>
      <c r="C204" s="41" t="s">
        <v>2923</v>
      </c>
      <c r="D204" s="60"/>
    </row>
    <row r="205" spans="2:4">
      <c r="B205" s="47" t="s">
        <v>3896</v>
      </c>
      <c r="C205" s="41" t="s">
        <v>2925</v>
      </c>
      <c r="D205" s="60"/>
    </row>
    <row r="206" spans="2:4">
      <c r="B206" s="47" t="s">
        <v>3897</v>
      </c>
      <c r="C206" s="41" t="s">
        <v>2927</v>
      </c>
      <c r="D206" s="60"/>
    </row>
    <row r="207" spans="2:4">
      <c r="B207" s="47" t="s">
        <v>3898</v>
      </c>
      <c r="C207" s="41" t="s">
        <v>2929</v>
      </c>
      <c r="D207" s="60"/>
    </row>
    <row r="208" spans="2:4">
      <c r="B208" s="47" t="s">
        <v>3480</v>
      </c>
      <c r="C208" s="41" t="s">
        <v>2931</v>
      </c>
      <c r="D208" s="60"/>
    </row>
    <row r="210" spans="2:25">
      <c r="X210" s="13" t="str">
        <f>Show!$B$87&amp;Show!$B$87&amp;"S.19.01.01.06 Rows {"&amp;COLUMN($C$1)&amp;"}"</f>
        <v>!!S.19.01.01.06 Rows {3}</v>
      </c>
      <c r="Y210" s="13" t="str">
        <f>Show!$B$87&amp;Show!$B$87&amp;"S.19.01.01.06 Columns {"&amp;COLUMN($D$1)&amp;"}"</f>
        <v>!!S.19.01.01.06 Columns {4}</v>
      </c>
    </row>
    <row r="212" spans="2:25" ht="18.75">
      <c r="B212" s="88" t="s">
        <v>3968</v>
      </c>
      <c r="C212" s="87"/>
      <c r="D212" s="87"/>
      <c r="E212" s="87"/>
      <c r="F212" s="87"/>
      <c r="G212" s="87"/>
      <c r="H212" s="87"/>
      <c r="I212" s="87"/>
      <c r="J212" s="87"/>
      <c r="K212" s="87"/>
      <c r="L212" s="87"/>
    </row>
    <row r="214" spans="2:25">
      <c r="B214" t="s">
        <v>3110</v>
      </c>
      <c r="X214" s="13" t="str">
        <f>Show!$B$87&amp;"S.19.01.01.07 Table label {"&amp;COLUMN($C$1)&amp;"}"</f>
        <v>!S.19.01.01.07 Table label {3}</v>
      </c>
      <c r="Y214" s="13" t="str">
        <f>Show!$B$87&amp;"S.19.01.01.07 Table value {"&amp;COLUMN($D$1)&amp;"}"</f>
        <v>!S.19.01.01.07 Table value {4}</v>
      </c>
    </row>
    <row r="215" spans="2:25">
      <c r="B215" t="s">
        <v>3111</v>
      </c>
    </row>
    <row r="216" spans="2:25">
      <c r="B216" s="40" t="s">
        <v>3427</v>
      </c>
      <c r="C216" s="53" t="s">
        <v>3113</v>
      </c>
      <c r="D216" s="51"/>
    </row>
    <row r="217" spans="2:25">
      <c r="B217" s="40" t="s">
        <v>3868</v>
      </c>
      <c r="C217" s="53" t="s">
        <v>3115</v>
      </c>
      <c r="D217" s="51"/>
    </row>
    <row r="218" spans="2:25">
      <c r="B218" s="40" t="s">
        <v>3606</v>
      </c>
      <c r="C218" s="53" t="s">
        <v>3323</v>
      </c>
      <c r="D218" s="51"/>
    </row>
    <row r="219" spans="2:25">
      <c r="B219" s="40" t="s">
        <v>3874</v>
      </c>
      <c r="C219" s="53" t="s">
        <v>3875</v>
      </c>
      <c r="D219" s="51"/>
    </row>
    <row r="220" spans="2:25">
      <c r="X220" s="13" t="str">
        <f>Show!$B$87&amp;Show!$B$87&amp;"S.19.01.01.07 Table label {"&amp;COLUMN($C$1)&amp;"}"</f>
        <v>!!S.19.01.01.07 Table label {3}</v>
      </c>
      <c r="Y220" s="13" t="str">
        <f>Show!$B$87&amp;Show!$B$87&amp;"S.19.01.01.07 Table value {"&amp;COLUMN($D$1)&amp;"}"</f>
        <v>!!S.19.01.01.07 Table value {4}</v>
      </c>
    </row>
    <row r="222" spans="2:25">
      <c r="D222" s="92" t="s">
        <v>2877</v>
      </c>
      <c r="E222" s="93"/>
      <c r="F222" s="93"/>
      <c r="G222" s="93"/>
      <c r="H222" s="93"/>
      <c r="I222" s="93"/>
      <c r="J222" s="93"/>
      <c r="K222" s="93"/>
      <c r="L222" s="93"/>
      <c r="M222" s="93"/>
      <c r="N222" s="93"/>
      <c r="O222" s="93"/>
      <c r="P222" s="93"/>
      <c r="Q222" s="93"/>
      <c r="R222" s="93"/>
      <c r="S222" s="94"/>
    </row>
    <row r="223" spans="2:25">
      <c r="D223" s="95"/>
      <c r="E223" s="96"/>
      <c r="F223" s="96"/>
      <c r="G223" s="96"/>
      <c r="H223" s="96"/>
      <c r="I223" s="96"/>
      <c r="J223" s="96"/>
      <c r="K223" s="96"/>
      <c r="L223" s="96"/>
      <c r="M223" s="96"/>
      <c r="N223" s="96"/>
      <c r="O223" s="96"/>
      <c r="P223" s="96"/>
      <c r="Q223" s="96"/>
      <c r="R223" s="96"/>
      <c r="S223" s="97"/>
    </row>
    <row r="224" spans="2:25">
      <c r="D224" s="55">
        <v>0</v>
      </c>
      <c r="E224" s="55">
        <v>1</v>
      </c>
      <c r="F224" s="55">
        <v>2</v>
      </c>
      <c r="G224" s="55">
        <v>3</v>
      </c>
      <c r="H224" s="55">
        <v>4</v>
      </c>
      <c r="I224" s="55">
        <v>5</v>
      </c>
      <c r="J224" s="55">
        <v>6</v>
      </c>
      <c r="K224" s="55">
        <v>7</v>
      </c>
      <c r="L224" s="55">
        <v>8</v>
      </c>
      <c r="M224" s="55">
        <v>9</v>
      </c>
      <c r="N224" s="55">
        <v>10</v>
      </c>
      <c r="O224" s="55">
        <v>11</v>
      </c>
      <c r="P224" s="55">
        <v>12</v>
      </c>
      <c r="Q224" s="55">
        <v>13</v>
      </c>
      <c r="R224" s="55">
        <v>14</v>
      </c>
      <c r="S224" s="55" t="s">
        <v>3946</v>
      </c>
    </row>
    <row r="225" spans="2:25">
      <c r="D225" s="45" t="s">
        <v>3969</v>
      </c>
      <c r="E225" s="45" t="s">
        <v>3970</v>
      </c>
      <c r="F225" s="45" t="s">
        <v>3971</v>
      </c>
      <c r="G225" s="45" t="s">
        <v>3972</v>
      </c>
      <c r="H225" s="45" t="s">
        <v>3973</v>
      </c>
      <c r="I225" s="45" t="s">
        <v>3974</v>
      </c>
      <c r="J225" s="45" t="s">
        <v>3975</v>
      </c>
      <c r="K225" s="45" t="s">
        <v>3976</v>
      </c>
      <c r="L225" s="45" t="s">
        <v>3977</v>
      </c>
      <c r="M225" s="45" t="s">
        <v>3978</v>
      </c>
      <c r="N225" s="45" t="s">
        <v>3979</v>
      </c>
      <c r="O225" s="45" t="s">
        <v>3980</v>
      </c>
      <c r="P225" s="45" t="s">
        <v>3981</v>
      </c>
      <c r="Q225" s="45" t="s">
        <v>3982</v>
      </c>
      <c r="R225" s="45" t="s">
        <v>3983</v>
      </c>
      <c r="S225" s="45" t="s">
        <v>3984</v>
      </c>
      <c r="X225" s="13" t="str">
        <f>Show!$B$87&amp;"S.19.01.01.07 Rows {"&amp;COLUMN($C$1)&amp;"}"&amp;"@ForceFilingCode:true"</f>
        <v>!S.19.01.01.07 Rows {3}@ForceFilingCode:true</v>
      </c>
      <c r="Y225" s="13" t="str">
        <f>Show!$B$87&amp;"S.19.01.01.07 Columns {"&amp;COLUMN($D$1)&amp;"}"</f>
        <v>!S.19.01.01.07 Columns {4}</v>
      </c>
    </row>
    <row r="226" spans="2:25">
      <c r="B226" s="43" t="s">
        <v>2880</v>
      </c>
      <c r="C226" s="44" t="s">
        <v>2878</v>
      </c>
      <c r="D226" s="58"/>
      <c r="E226" s="67"/>
      <c r="F226" s="67"/>
      <c r="G226" s="67"/>
      <c r="H226" s="67"/>
      <c r="I226" s="67"/>
      <c r="J226" s="67"/>
      <c r="K226" s="67"/>
      <c r="L226" s="67"/>
      <c r="M226" s="67"/>
      <c r="N226" s="67"/>
      <c r="O226" s="67"/>
      <c r="P226" s="67"/>
      <c r="Q226" s="67"/>
      <c r="R226" s="67"/>
      <c r="S226" s="57"/>
    </row>
    <row r="227" spans="2:25">
      <c r="B227" s="47" t="s">
        <v>3947</v>
      </c>
      <c r="C227" s="44" t="s">
        <v>2939</v>
      </c>
      <c r="D227" s="56"/>
      <c r="E227" s="56"/>
      <c r="F227" s="56"/>
      <c r="G227" s="56"/>
      <c r="H227" s="56"/>
      <c r="I227" s="56"/>
      <c r="J227" s="56"/>
      <c r="K227" s="56"/>
      <c r="L227" s="56"/>
      <c r="M227" s="56"/>
      <c r="N227" s="56"/>
      <c r="O227" s="56"/>
      <c r="P227" s="56"/>
      <c r="Q227" s="56"/>
      <c r="R227" s="46"/>
      <c r="S227" s="63"/>
    </row>
    <row r="228" spans="2:25">
      <c r="B228" s="47" t="s">
        <v>3884</v>
      </c>
      <c r="C228" s="41" t="s">
        <v>2941</v>
      </c>
      <c r="D228" s="60"/>
      <c r="E228" s="60"/>
      <c r="F228" s="60"/>
      <c r="G228" s="60"/>
      <c r="H228" s="60"/>
      <c r="I228" s="60"/>
      <c r="J228" s="60"/>
      <c r="K228" s="60"/>
      <c r="L228" s="60"/>
      <c r="M228" s="60"/>
      <c r="N228" s="60"/>
      <c r="O228" s="60"/>
      <c r="P228" s="60"/>
      <c r="Q228" s="60"/>
      <c r="R228" s="65"/>
      <c r="S228" s="48"/>
    </row>
    <row r="229" spans="2:25">
      <c r="B229" s="47" t="s">
        <v>3885</v>
      </c>
      <c r="C229" s="41" t="s">
        <v>2943</v>
      </c>
      <c r="D229" s="60"/>
      <c r="E229" s="60"/>
      <c r="F229" s="60"/>
      <c r="G229" s="60"/>
      <c r="H229" s="60"/>
      <c r="I229" s="60"/>
      <c r="J229" s="60"/>
      <c r="K229" s="60"/>
      <c r="L229" s="60"/>
      <c r="M229" s="60"/>
      <c r="N229" s="60"/>
      <c r="O229" s="60"/>
      <c r="P229" s="60"/>
      <c r="Q229" s="65"/>
      <c r="R229" s="58"/>
      <c r="S229" s="48"/>
    </row>
    <row r="230" spans="2:25">
      <c r="B230" s="47" t="s">
        <v>3886</v>
      </c>
      <c r="C230" s="41" t="s">
        <v>2945</v>
      </c>
      <c r="D230" s="60"/>
      <c r="E230" s="60"/>
      <c r="F230" s="60"/>
      <c r="G230" s="60"/>
      <c r="H230" s="60"/>
      <c r="I230" s="60"/>
      <c r="J230" s="60"/>
      <c r="K230" s="60"/>
      <c r="L230" s="60"/>
      <c r="M230" s="60"/>
      <c r="N230" s="60"/>
      <c r="O230" s="60"/>
      <c r="P230" s="65"/>
      <c r="Q230" s="58"/>
      <c r="R230" s="58"/>
      <c r="S230" s="48"/>
    </row>
    <row r="231" spans="2:25">
      <c r="B231" s="47" t="s">
        <v>3887</v>
      </c>
      <c r="C231" s="41" t="s">
        <v>2947</v>
      </c>
      <c r="D231" s="60"/>
      <c r="E231" s="60"/>
      <c r="F231" s="60"/>
      <c r="G231" s="60"/>
      <c r="H231" s="60"/>
      <c r="I231" s="60"/>
      <c r="J231" s="60"/>
      <c r="K231" s="60"/>
      <c r="L231" s="60"/>
      <c r="M231" s="60"/>
      <c r="N231" s="60"/>
      <c r="O231" s="65"/>
      <c r="P231" s="58"/>
      <c r="Q231" s="58"/>
      <c r="R231" s="58"/>
      <c r="S231" s="48"/>
    </row>
    <row r="232" spans="2:25">
      <c r="B232" s="47" t="s">
        <v>3888</v>
      </c>
      <c r="C232" s="41" t="s">
        <v>2949</v>
      </c>
      <c r="D232" s="60"/>
      <c r="E232" s="60"/>
      <c r="F232" s="60"/>
      <c r="G232" s="60"/>
      <c r="H232" s="60"/>
      <c r="I232" s="60"/>
      <c r="J232" s="60"/>
      <c r="K232" s="60"/>
      <c r="L232" s="60"/>
      <c r="M232" s="60"/>
      <c r="N232" s="65"/>
      <c r="O232" s="58"/>
      <c r="P232" s="58"/>
      <c r="Q232" s="58"/>
      <c r="R232" s="58"/>
      <c r="S232" s="48"/>
    </row>
    <row r="233" spans="2:25">
      <c r="B233" s="47" t="s">
        <v>3889</v>
      </c>
      <c r="C233" s="41" t="s">
        <v>2951</v>
      </c>
      <c r="D233" s="60"/>
      <c r="E233" s="60"/>
      <c r="F233" s="60"/>
      <c r="G233" s="60"/>
      <c r="H233" s="60"/>
      <c r="I233" s="60"/>
      <c r="J233" s="60"/>
      <c r="K233" s="60"/>
      <c r="L233" s="60"/>
      <c r="M233" s="65"/>
      <c r="N233" s="58"/>
      <c r="O233" s="58"/>
      <c r="P233" s="58"/>
      <c r="Q233" s="58"/>
      <c r="R233" s="58"/>
      <c r="S233" s="48"/>
    </row>
    <row r="234" spans="2:25">
      <c r="B234" s="47" t="s">
        <v>3890</v>
      </c>
      <c r="C234" s="41" t="s">
        <v>2953</v>
      </c>
      <c r="D234" s="60"/>
      <c r="E234" s="60"/>
      <c r="F234" s="60"/>
      <c r="G234" s="60"/>
      <c r="H234" s="60"/>
      <c r="I234" s="60"/>
      <c r="J234" s="60"/>
      <c r="K234" s="60"/>
      <c r="L234" s="65"/>
      <c r="M234" s="58"/>
      <c r="N234" s="58"/>
      <c r="O234" s="58"/>
      <c r="P234" s="58"/>
      <c r="Q234" s="58"/>
      <c r="R234" s="58"/>
      <c r="S234" s="48"/>
    </row>
    <row r="235" spans="2:25">
      <c r="B235" s="47" t="s">
        <v>3891</v>
      </c>
      <c r="C235" s="41" t="s">
        <v>2955</v>
      </c>
      <c r="D235" s="60"/>
      <c r="E235" s="60"/>
      <c r="F235" s="60"/>
      <c r="G235" s="60"/>
      <c r="H235" s="60"/>
      <c r="I235" s="60"/>
      <c r="J235" s="60"/>
      <c r="K235" s="65"/>
      <c r="L235" s="58"/>
      <c r="M235" s="58"/>
      <c r="N235" s="58"/>
      <c r="O235" s="58"/>
      <c r="P235" s="58"/>
      <c r="Q235" s="58"/>
      <c r="R235" s="58"/>
      <c r="S235" s="48"/>
    </row>
    <row r="236" spans="2:25">
      <c r="B236" s="47" t="s">
        <v>3892</v>
      </c>
      <c r="C236" s="41" t="s">
        <v>2957</v>
      </c>
      <c r="D236" s="60"/>
      <c r="E236" s="60"/>
      <c r="F236" s="60"/>
      <c r="G236" s="60"/>
      <c r="H236" s="60"/>
      <c r="I236" s="60"/>
      <c r="J236" s="65"/>
      <c r="K236" s="58"/>
      <c r="L236" s="58"/>
      <c r="M236" s="58"/>
      <c r="N236" s="58"/>
      <c r="O236" s="58"/>
      <c r="P236" s="58"/>
      <c r="Q236" s="58"/>
      <c r="R236" s="58"/>
      <c r="S236" s="48"/>
    </row>
    <row r="237" spans="2:25">
      <c r="B237" s="47" t="s">
        <v>3893</v>
      </c>
      <c r="C237" s="41" t="s">
        <v>2959</v>
      </c>
      <c r="D237" s="60"/>
      <c r="E237" s="60"/>
      <c r="F237" s="60"/>
      <c r="G237" s="60"/>
      <c r="H237" s="60"/>
      <c r="I237" s="65"/>
      <c r="J237" s="58"/>
      <c r="K237" s="58"/>
      <c r="L237" s="58"/>
      <c r="M237" s="58"/>
      <c r="N237" s="58"/>
      <c r="O237" s="58"/>
      <c r="P237" s="58"/>
      <c r="Q237" s="58"/>
      <c r="R237" s="58"/>
      <c r="S237" s="48"/>
    </row>
    <row r="238" spans="2:25">
      <c r="B238" s="47" t="s">
        <v>3894</v>
      </c>
      <c r="C238" s="41" t="s">
        <v>2961</v>
      </c>
      <c r="D238" s="60"/>
      <c r="E238" s="60"/>
      <c r="F238" s="60"/>
      <c r="G238" s="60"/>
      <c r="H238" s="65"/>
      <c r="I238" s="58"/>
      <c r="J238" s="58"/>
      <c r="K238" s="58"/>
      <c r="L238" s="58"/>
      <c r="M238" s="58"/>
      <c r="N238" s="58"/>
      <c r="O238" s="58"/>
      <c r="P238" s="58"/>
      <c r="Q238" s="58"/>
      <c r="R238" s="58"/>
      <c r="S238" s="48"/>
    </row>
    <row r="239" spans="2:25">
      <c r="B239" s="47" t="s">
        <v>3895</v>
      </c>
      <c r="C239" s="41" t="s">
        <v>2963</v>
      </c>
      <c r="D239" s="60"/>
      <c r="E239" s="60"/>
      <c r="F239" s="60"/>
      <c r="G239" s="65"/>
      <c r="H239" s="58"/>
      <c r="I239" s="58"/>
      <c r="J239" s="58"/>
      <c r="K239" s="58"/>
      <c r="L239" s="58"/>
      <c r="M239" s="58"/>
      <c r="N239" s="58"/>
      <c r="O239" s="58"/>
      <c r="P239" s="58"/>
      <c r="Q239" s="58"/>
      <c r="R239" s="58"/>
      <c r="S239" s="48"/>
    </row>
    <row r="240" spans="2:25">
      <c r="B240" s="47" t="s">
        <v>3896</v>
      </c>
      <c r="C240" s="41" t="s">
        <v>2965</v>
      </c>
      <c r="D240" s="60"/>
      <c r="E240" s="60"/>
      <c r="F240" s="65"/>
      <c r="G240" s="58"/>
      <c r="H240" s="58"/>
      <c r="I240" s="58"/>
      <c r="J240" s="58"/>
      <c r="K240" s="58"/>
      <c r="L240" s="58"/>
      <c r="M240" s="58"/>
      <c r="N240" s="58"/>
      <c r="O240" s="58"/>
      <c r="P240" s="58"/>
      <c r="Q240" s="58"/>
      <c r="R240" s="58"/>
      <c r="S240" s="48"/>
    </row>
    <row r="241" spans="2:25">
      <c r="B241" s="47" t="s">
        <v>3897</v>
      </c>
      <c r="C241" s="41" t="s">
        <v>2967</v>
      </c>
      <c r="D241" s="60"/>
      <c r="E241" s="65"/>
      <c r="F241" s="58"/>
      <c r="G241" s="58"/>
      <c r="H241" s="58"/>
      <c r="I241" s="58"/>
      <c r="J241" s="58"/>
      <c r="K241" s="58"/>
      <c r="L241" s="58"/>
      <c r="M241" s="58"/>
      <c r="N241" s="58"/>
      <c r="O241" s="58"/>
      <c r="P241" s="58"/>
      <c r="Q241" s="58"/>
      <c r="R241" s="58"/>
      <c r="S241" s="48"/>
    </row>
    <row r="242" spans="2:25">
      <c r="B242" s="47" t="s">
        <v>3898</v>
      </c>
      <c r="C242" s="41" t="s">
        <v>2969</v>
      </c>
      <c r="D242" s="64"/>
      <c r="E242" s="56"/>
      <c r="F242" s="56"/>
      <c r="G242" s="56"/>
      <c r="H242" s="56"/>
      <c r="I242" s="56"/>
      <c r="J242" s="56"/>
      <c r="K242" s="56"/>
      <c r="L242" s="56"/>
      <c r="M242" s="56"/>
      <c r="N242" s="56"/>
      <c r="O242" s="56"/>
      <c r="P242" s="56"/>
      <c r="Q242" s="56"/>
      <c r="R242" s="56"/>
      <c r="S242" s="46"/>
    </row>
    <row r="244" spans="2:25">
      <c r="X244" s="13" t="str">
        <f>Show!$B$87&amp;Show!$B$87&amp;"S.19.01.01.07 Rows {"&amp;COLUMN($C$1)&amp;"}"</f>
        <v>!!S.19.01.01.07 Rows {3}</v>
      </c>
      <c r="Y244" s="13" t="str">
        <f>Show!$B$87&amp;Show!$B$87&amp;"S.19.01.01.07 Columns {"&amp;COLUMN($S$1)&amp;"}"</f>
        <v>!!S.19.01.01.07 Columns {19}</v>
      </c>
    </row>
    <row r="246" spans="2:25" ht="18.75">
      <c r="B246" s="88" t="s">
        <v>3985</v>
      </c>
      <c r="C246" s="87"/>
      <c r="D246" s="87"/>
      <c r="E246" s="87"/>
      <c r="F246" s="87"/>
      <c r="G246" s="87"/>
      <c r="H246" s="87"/>
      <c r="I246" s="87"/>
      <c r="J246" s="87"/>
      <c r="K246" s="87"/>
      <c r="L246" s="87"/>
    </row>
    <row r="248" spans="2:25">
      <c r="B248" t="s">
        <v>3110</v>
      </c>
      <c r="X248" s="13" t="str">
        <f>Show!$B$87&amp;"S.19.01.01.08 Table label {"&amp;COLUMN($C$1)&amp;"}"</f>
        <v>!S.19.01.01.08 Table label {3}</v>
      </c>
      <c r="Y248" s="13" t="str">
        <f>Show!$B$87&amp;"S.19.01.01.08 Table value {"&amp;COLUMN($D$1)&amp;"}"</f>
        <v>!S.19.01.01.08 Table value {4}</v>
      </c>
    </row>
    <row r="249" spans="2:25">
      <c r="B249" t="s">
        <v>3111</v>
      </c>
    </row>
    <row r="250" spans="2:25">
      <c r="B250" s="40" t="s">
        <v>3427</v>
      </c>
      <c r="C250" s="53" t="s">
        <v>3113</v>
      </c>
      <c r="D250" s="51"/>
    </row>
    <row r="251" spans="2:25">
      <c r="B251" s="40" t="s">
        <v>3868</v>
      </c>
      <c r="C251" s="53" t="s">
        <v>3115</v>
      </c>
      <c r="D251" s="51"/>
    </row>
    <row r="252" spans="2:25">
      <c r="B252" s="40" t="s">
        <v>3606</v>
      </c>
      <c r="C252" s="53" t="s">
        <v>3323</v>
      </c>
      <c r="D252" s="51"/>
    </row>
    <row r="253" spans="2:25">
      <c r="B253" s="40" t="s">
        <v>3874</v>
      </c>
      <c r="C253" s="53" t="s">
        <v>3875</v>
      </c>
      <c r="D253" s="51"/>
    </row>
    <row r="254" spans="2:25">
      <c r="X254" s="13" t="str">
        <f>Show!$B$87&amp;Show!$B$87&amp;"S.19.01.01.08 Table label {"&amp;COLUMN($C$1)&amp;"}"</f>
        <v>!!S.19.01.01.08 Table label {3}</v>
      </c>
      <c r="Y254" s="13" t="str">
        <f>Show!$B$87&amp;Show!$B$87&amp;"S.19.01.01.08 Table value {"&amp;COLUMN($D$1)&amp;"}"</f>
        <v>!!S.19.01.01.08 Table value {4}</v>
      </c>
    </row>
    <row r="256" spans="2:25">
      <c r="D256" s="92" t="s">
        <v>2877</v>
      </c>
      <c r="E256" s="94"/>
    </row>
    <row r="257" spans="2:25">
      <c r="D257" s="95"/>
      <c r="E257" s="97"/>
    </row>
    <row r="258" spans="2:25" ht="30">
      <c r="D258" s="55" t="s">
        <v>3949</v>
      </c>
      <c r="E258" s="55" t="s">
        <v>3950</v>
      </c>
    </row>
    <row r="259" spans="2:25">
      <c r="D259" s="45" t="s">
        <v>3986</v>
      </c>
      <c r="E259" s="45" t="s">
        <v>3987</v>
      </c>
      <c r="X259" s="13" t="str">
        <f>Show!$B$87&amp;"S.19.01.01.08 Rows {"&amp;COLUMN($C$1)&amp;"}"&amp;"@ForceFilingCode:true"</f>
        <v>!S.19.01.01.08 Rows {3}@ForceFilingCode:true</v>
      </c>
      <c r="Y259" s="13" t="str">
        <f>Show!$B$87&amp;"S.19.01.01.08 Columns {"&amp;COLUMN($D$1)&amp;"}"</f>
        <v>!S.19.01.01.08 Columns {4}</v>
      </c>
    </row>
    <row r="260" spans="2:25">
      <c r="B260" s="43" t="s">
        <v>2880</v>
      </c>
      <c r="C260" s="44" t="s">
        <v>2878</v>
      </c>
      <c r="D260" s="56"/>
      <c r="E260" s="57"/>
    </row>
    <row r="261" spans="2:25">
      <c r="B261" s="47" t="s">
        <v>3947</v>
      </c>
      <c r="C261" s="41" t="s">
        <v>2939</v>
      </c>
      <c r="D261" s="60"/>
      <c r="E261" s="60"/>
    </row>
    <row r="262" spans="2:25">
      <c r="B262" s="47" t="s">
        <v>3884</v>
      </c>
      <c r="C262" s="41" t="s">
        <v>2941</v>
      </c>
      <c r="D262" s="60"/>
      <c r="E262" s="60"/>
    </row>
    <row r="263" spans="2:25">
      <c r="B263" s="47" t="s">
        <v>3885</v>
      </c>
      <c r="C263" s="41" t="s">
        <v>2943</v>
      </c>
      <c r="D263" s="60"/>
      <c r="E263" s="60"/>
    </row>
    <row r="264" spans="2:25">
      <c r="B264" s="47" t="s">
        <v>3886</v>
      </c>
      <c r="C264" s="41" t="s">
        <v>2945</v>
      </c>
      <c r="D264" s="60"/>
      <c r="E264" s="60"/>
    </row>
    <row r="265" spans="2:25">
      <c r="B265" s="47" t="s">
        <v>3887</v>
      </c>
      <c r="C265" s="41" t="s">
        <v>2947</v>
      </c>
      <c r="D265" s="60"/>
      <c r="E265" s="60"/>
    </row>
    <row r="266" spans="2:25">
      <c r="B266" s="47" t="s">
        <v>3888</v>
      </c>
      <c r="C266" s="41" t="s">
        <v>2949</v>
      </c>
      <c r="D266" s="60"/>
      <c r="E266" s="60"/>
    </row>
    <row r="267" spans="2:25">
      <c r="B267" s="47" t="s">
        <v>3889</v>
      </c>
      <c r="C267" s="41" t="s">
        <v>2951</v>
      </c>
      <c r="D267" s="60"/>
      <c r="E267" s="60"/>
    </row>
    <row r="268" spans="2:25">
      <c r="B268" s="47" t="s">
        <v>3890</v>
      </c>
      <c r="C268" s="41" t="s">
        <v>2953</v>
      </c>
      <c r="D268" s="60"/>
      <c r="E268" s="60"/>
    </row>
    <row r="269" spans="2:25">
      <c r="B269" s="47" t="s">
        <v>3891</v>
      </c>
      <c r="C269" s="41" t="s">
        <v>2955</v>
      </c>
      <c r="D269" s="60"/>
      <c r="E269" s="60"/>
    </row>
    <row r="270" spans="2:25">
      <c r="B270" s="47" t="s">
        <v>3892</v>
      </c>
      <c r="C270" s="41" t="s">
        <v>2957</v>
      </c>
      <c r="D270" s="60"/>
      <c r="E270" s="60"/>
    </row>
    <row r="271" spans="2:25">
      <c r="B271" s="47" t="s">
        <v>3893</v>
      </c>
      <c r="C271" s="41" t="s">
        <v>2959</v>
      </c>
      <c r="D271" s="60"/>
      <c r="E271" s="60"/>
    </row>
    <row r="272" spans="2:25">
      <c r="B272" s="47" t="s">
        <v>3894</v>
      </c>
      <c r="C272" s="41" t="s">
        <v>2961</v>
      </c>
      <c r="D272" s="60"/>
      <c r="E272" s="60"/>
    </row>
    <row r="273" spans="2:25">
      <c r="B273" s="47" t="s">
        <v>3895</v>
      </c>
      <c r="C273" s="41" t="s">
        <v>2963</v>
      </c>
      <c r="D273" s="60"/>
      <c r="E273" s="60"/>
    </row>
    <row r="274" spans="2:25">
      <c r="B274" s="47" t="s">
        <v>3896</v>
      </c>
      <c r="C274" s="41" t="s">
        <v>2965</v>
      </c>
      <c r="D274" s="60"/>
      <c r="E274" s="60"/>
    </row>
    <row r="275" spans="2:25">
      <c r="B275" s="47" t="s">
        <v>3897</v>
      </c>
      <c r="C275" s="41" t="s">
        <v>2967</v>
      </c>
      <c r="D275" s="60"/>
      <c r="E275" s="60"/>
    </row>
    <row r="276" spans="2:25">
      <c r="B276" s="47" t="s">
        <v>3898</v>
      </c>
      <c r="C276" s="41" t="s">
        <v>2969</v>
      </c>
      <c r="D276" s="60"/>
      <c r="E276" s="60"/>
    </row>
    <row r="277" spans="2:25">
      <c r="B277" s="47" t="s">
        <v>3480</v>
      </c>
      <c r="C277" s="41" t="s">
        <v>2971</v>
      </c>
      <c r="D277" s="60"/>
      <c r="E277" s="60"/>
    </row>
    <row r="279" spans="2:25">
      <c r="X279" s="13" t="str">
        <f>Show!$B$87&amp;Show!$B$87&amp;"S.19.01.01.08 Rows {"&amp;COLUMN($C$1)&amp;"}"</f>
        <v>!!S.19.01.01.08 Rows {3}</v>
      </c>
      <c r="Y279" s="13" t="str">
        <f>Show!$B$87&amp;Show!$B$87&amp;"S.19.01.01.08 Columns {"&amp;COLUMN($E$1)&amp;"}"</f>
        <v>!!S.19.01.01.08 Columns {5}</v>
      </c>
    </row>
    <row r="281" spans="2:25" ht="18.75">
      <c r="B281" s="88" t="s">
        <v>3988</v>
      </c>
      <c r="C281" s="87"/>
      <c r="D281" s="87"/>
      <c r="E281" s="87"/>
      <c r="F281" s="87"/>
      <c r="G281" s="87"/>
      <c r="H281" s="87"/>
      <c r="I281" s="87"/>
      <c r="J281" s="87"/>
      <c r="K281" s="87"/>
      <c r="L281" s="87"/>
    </row>
    <row r="283" spans="2:25">
      <c r="B283" t="s">
        <v>3110</v>
      </c>
      <c r="X283" s="13" t="str">
        <f>Show!$B$87&amp;"S.19.01.01.09 Table label {"&amp;COLUMN($C$1)&amp;"}"</f>
        <v>!S.19.01.01.09 Table label {3}</v>
      </c>
      <c r="Y283" s="13" t="str">
        <f>Show!$B$87&amp;"S.19.01.01.09 Table value {"&amp;COLUMN($D$1)&amp;"}"</f>
        <v>!S.19.01.01.09 Table value {4}</v>
      </c>
    </row>
    <row r="284" spans="2:25">
      <c r="B284" t="s">
        <v>3111</v>
      </c>
    </row>
    <row r="285" spans="2:25">
      <c r="B285" s="40" t="s">
        <v>3427</v>
      </c>
      <c r="C285" s="53" t="s">
        <v>3113</v>
      </c>
      <c r="D285" s="51"/>
    </row>
    <row r="286" spans="2:25">
      <c r="B286" s="40" t="s">
        <v>3868</v>
      </c>
      <c r="C286" s="53" t="s">
        <v>3115</v>
      </c>
      <c r="D286" s="51"/>
    </row>
    <row r="287" spans="2:25">
      <c r="B287" s="40" t="s">
        <v>3606</v>
      </c>
      <c r="C287" s="53" t="s">
        <v>3323</v>
      </c>
      <c r="D287" s="51"/>
    </row>
    <row r="288" spans="2:25">
      <c r="B288" s="40" t="s">
        <v>3874</v>
      </c>
      <c r="C288" s="53" t="s">
        <v>3875</v>
      </c>
      <c r="D288" s="51"/>
    </row>
    <row r="289" spans="2:25">
      <c r="X289" s="13" t="str">
        <f>Show!$B$87&amp;Show!$B$87&amp;"S.19.01.01.09 Table label {"&amp;COLUMN($C$1)&amp;"}"</f>
        <v>!!S.19.01.01.09 Table label {3}</v>
      </c>
      <c r="Y289" s="13" t="str">
        <f>Show!$B$87&amp;Show!$B$87&amp;"S.19.01.01.09 Table value {"&amp;COLUMN($D$1)&amp;"}"</f>
        <v>!!S.19.01.01.09 Table value {4}</v>
      </c>
    </row>
    <row r="291" spans="2:25">
      <c r="D291" s="92" t="s">
        <v>2877</v>
      </c>
      <c r="E291" s="93"/>
      <c r="F291" s="93"/>
      <c r="G291" s="93"/>
      <c r="H291" s="93"/>
      <c r="I291" s="93"/>
      <c r="J291" s="93"/>
      <c r="K291" s="93"/>
      <c r="L291" s="93"/>
      <c r="M291" s="93"/>
      <c r="N291" s="93"/>
      <c r="O291" s="93"/>
      <c r="P291" s="93"/>
      <c r="Q291" s="93"/>
      <c r="R291" s="93"/>
      <c r="S291" s="94"/>
    </row>
    <row r="292" spans="2:25">
      <c r="D292" s="95"/>
      <c r="E292" s="96"/>
      <c r="F292" s="96"/>
      <c r="G292" s="96"/>
      <c r="H292" s="96"/>
      <c r="I292" s="96"/>
      <c r="J292" s="96"/>
      <c r="K292" s="96"/>
      <c r="L292" s="96"/>
      <c r="M292" s="96"/>
      <c r="N292" s="96"/>
      <c r="O292" s="96"/>
      <c r="P292" s="96"/>
      <c r="Q292" s="96"/>
      <c r="R292" s="96"/>
      <c r="S292" s="97"/>
    </row>
    <row r="293" spans="2:25">
      <c r="D293" s="55">
        <v>0</v>
      </c>
      <c r="E293" s="55">
        <v>1</v>
      </c>
      <c r="F293" s="55">
        <v>2</v>
      </c>
      <c r="G293" s="55">
        <v>3</v>
      </c>
      <c r="H293" s="55">
        <v>4</v>
      </c>
      <c r="I293" s="55">
        <v>5</v>
      </c>
      <c r="J293" s="55">
        <v>6</v>
      </c>
      <c r="K293" s="55">
        <v>7</v>
      </c>
      <c r="L293" s="55">
        <v>8</v>
      </c>
      <c r="M293" s="55">
        <v>9</v>
      </c>
      <c r="N293" s="55">
        <v>10</v>
      </c>
      <c r="O293" s="55">
        <v>11</v>
      </c>
      <c r="P293" s="55">
        <v>12</v>
      </c>
      <c r="Q293" s="55">
        <v>13</v>
      </c>
      <c r="R293" s="55">
        <v>14</v>
      </c>
      <c r="S293" s="55" t="s">
        <v>3946</v>
      </c>
    </row>
    <row r="294" spans="2:25">
      <c r="D294" s="45" t="s">
        <v>3989</v>
      </c>
      <c r="E294" s="45" t="s">
        <v>3990</v>
      </c>
      <c r="F294" s="45" t="s">
        <v>3991</v>
      </c>
      <c r="G294" s="45" t="s">
        <v>3992</v>
      </c>
      <c r="H294" s="45" t="s">
        <v>3993</v>
      </c>
      <c r="I294" s="45" t="s">
        <v>3994</v>
      </c>
      <c r="J294" s="45" t="s">
        <v>3995</v>
      </c>
      <c r="K294" s="45" t="s">
        <v>3996</v>
      </c>
      <c r="L294" s="45" t="s">
        <v>3997</v>
      </c>
      <c r="M294" s="45" t="s">
        <v>3998</v>
      </c>
      <c r="N294" s="45" t="s">
        <v>3999</v>
      </c>
      <c r="O294" s="45" t="s">
        <v>4000</v>
      </c>
      <c r="P294" s="45" t="s">
        <v>4001</v>
      </c>
      <c r="Q294" s="45" t="s">
        <v>4002</v>
      </c>
      <c r="R294" s="45" t="s">
        <v>4003</v>
      </c>
      <c r="S294" s="45" t="s">
        <v>4004</v>
      </c>
      <c r="X294" s="13" t="str">
        <f>Show!$B$87&amp;"S.19.01.01.09 Rows {"&amp;COLUMN($C$1)&amp;"}"&amp;"@ForceFilingCode:true"</f>
        <v>!S.19.01.01.09 Rows {3}@ForceFilingCode:true</v>
      </c>
      <c r="Y294" s="13" t="str">
        <f>Show!$B$87&amp;"S.19.01.01.09 Columns {"&amp;COLUMN($D$1)&amp;"}"</f>
        <v>!S.19.01.01.09 Columns {4}</v>
      </c>
    </row>
    <row r="295" spans="2:25">
      <c r="B295" s="43" t="s">
        <v>2880</v>
      </c>
      <c r="C295" s="44" t="s">
        <v>2878</v>
      </c>
      <c r="D295" s="58"/>
      <c r="E295" s="67"/>
      <c r="F295" s="67"/>
      <c r="G295" s="67"/>
      <c r="H295" s="67"/>
      <c r="I295" s="67"/>
      <c r="J295" s="67"/>
      <c r="K295" s="67"/>
      <c r="L295" s="67"/>
      <c r="M295" s="67"/>
      <c r="N295" s="67"/>
      <c r="O295" s="67"/>
      <c r="P295" s="67"/>
      <c r="Q295" s="67"/>
      <c r="R295" s="67"/>
      <c r="S295" s="57"/>
    </row>
    <row r="296" spans="2:25">
      <c r="B296" s="47" t="s">
        <v>3947</v>
      </c>
      <c r="C296" s="44" t="s">
        <v>2939</v>
      </c>
      <c r="D296" s="56"/>
      <c r="E296" s="56"/>
      <c r="F296" s="56"/>
      <c r="G296" s="56"/>
      <c r="H296" s="56"/>
      <c r="I296" s="56"/>
      <c r="J296" s="56"/>
      <c r="K296" s="56"/>
      <c r="L296" s="56"/>
      <c r="M296" s="56"/>
      <c r="N296" s="56"/>
      <c r="O296" s="56"/>
      <c r="P296" s="56"/>
      <c r="Q296" s="56"/>
      <c r="R296" s="46"/>
      <c r="S296" s="63"/>
    </row>
    <row r="297" spans="2:25">
      <c r="B297" s="47" t="s">
        <v>3884</v>
      </c>
      <c r="C297" s="41" t="s">
        <v>2941</v>
      </c>
      <c r="D297" s="60"/>
      <c r="E297" s="60"/>
      <c r="F297" s="60"/>
      <c r="G297" s="60"/>
      <c r="H297" s="60"/>
      <c r="I297" s="60"/>
      <c r="J297" s="60"/>
      <c r="K297" s="60"/>
      <c r="L297" s="60"/>
      <c r="M297" s="60"/>
      <c r="N297" s="60"/>
      <c r="O297" s="60"/>
      <c r="P297" s="60"/>
      <c r="Q297" s="60"/>
      <c r="R297" s="65"/>
      <c r="S297" s="48"/>
    </row>
    <row r="298" spans="2:25">
      <c r="B298" s="47" t="s">
        <v>3885</v>
      </c>
      <c r="C298" s="41" t="s">
        <v>2943</v>
      </c>
      <c r="D298" s="60"/>
      <c r="E298" s="60"/>
      <c r="F298" s="60"/>
      <c r="G298" s="60"/>
      <c r="H298" s="60"/>
      <c r="I298" s="60"/>
      <c r="J298" s="60"/>
      <c r="K298" s="60"/>
      <c r="L298" s="60"/>
      <c r="M298" s="60"/>
      <c r="N298" s="60"/>
      <c r="O298" s="60"/>
      <c r="P298" s="60"/>
      <c r="Q298" s="65"/>
      <c r="R298" s="58"/>
      <c r="S298" s="48"/>
    </row>
    <row r="299" spans="2:25">
      <c r="B299" s="47" t="s">
        <v>3886</v>
      </c>
      <c r="C299" s="41" t="s">
        <v>2945</v>
      </c>
      <c r="D299" s="60"/>
      <c r="E299" s="60"/>
      <c r="F299" s="60"/>
      <c r="G299" s="60"/>
      <c r="H299" s="60"/>
      <c r="I299" s="60"/>
      <c r="J299" s="60"/>
      <c r="K299" s="60"/>
      <c r="L299" s="60"/>
      <c r="M299" s="60"/>
      <c r="N299" s="60"/>
      <c r="O299" s="60"/>
      <c r="P299" s="65"/>
      <c r="Q299" s="58"/>
      <c r="R299" s="58"/>
      <c r="S299" s="48"/>
    </row>
    <row r="300" spans="2:25">
      <c r="B300" s="47" t="s">
        <v>3887</v>
      </c>
      <c r="C300" s="41" t="s">
        <v>2947</v>
      </c>
      <c r="D300" s="60"/>
      <c r="E300" s="60"/>
      <c r="F300" s="60"/>
      <c r="G300" s="60"/>
      <c r="H300" s="60"/>
      <c r="I300" s="60"/>
      <c r="J300" s="60"/>
      <c r="K300" s="60"/>
      <c r="L300" s="60"/>
      <c r="M300" s="60"/>
      <c r="N300" s="60"/>
      <c r="O300" s="65"/>
      <c r="P300" s="58"/>
      <c r="Q300" s="58"/>
      <c r="R300" s="58"/>
      <c r="S300" s="48"/>
    </row>
    <row r="301" spans="2:25">
      <c r="B301" s="47" t="s">
        <v>3888</v>
      </c>
      <c r="C301" s="41" t="s">
        <v>2949</v>
      </c>
      <c r="D301" s="60"/>
      <c r="E301" s="60"/>
      <c r="F301" s="60"/>
      <c r="G301" s="60"/>
      <c r="H301" s="60"/>
      <c r="I301" s="60"/>
      <c r="J301" s="60"/>
      <c r="K301" s="60"/>
      <c r="L301" s="60"/>
      <c r="M301" s="60"/>
      <c r="N301" s="65"/>
      <c r="O301" s="58"/>
      <c r="P301" s="58"/>
      <c r="Q301" s="58"/>
      <c r="R301" s="58"/>
      <c r="S301" s="48"/>
    </row>
    <row r="302" spans="2:25">
      <c r="B302" s="47" t="s">
        <v>3889</v>
      </c>
      <c r="C302" s="41" t="s">
        <v>2951</v>
      </c>
      <c r="D302" s="60"/>
      <c r="E302" s="60"/>
      <c r="F302" s="60"/>
      <c r="G302" s="60"/>
      <c r="H302" s="60"/>
      <c r="I302" s="60"/>
      <c r="J302" s="60"/>
      <c r="K302" s="60"/>
      <c r="L302" s="60"/>
      <c r="M302" s="65"/>
      <c r="N302" s="58"/>
      <c r="O302" s="58"/>
      <c r="P302" s="58"/>
      <c r="Q302" s="58"/>
      <c r="R302" s="58"/>
      <c r="S302" s="48"/>
    </row>
    <row r="303" spans="2:25">
      <c r="B303" s="47" t="s">
        <v>3890</v>
      </c>
      <c r="C303" s="41" t="s">
        <v>2953</v>
      </c>
      <c r="D303" s="60"/>
      <c r="E303" s="60"/>
      <c r="F303" s="60"/>
      <c r="G303" s="60"/>
      <c r="H303" s="60"/>
      <c r="I303" s="60"/>
      <c r="J303" s="60"/>
      <c r="K303" s="60"/>
      <c r="L303" s="65"/>
      <c r="M303" s="58"/>
      <c r="N303" s="58"/>
      <c r="O303" s="58"/>
      <c r="P303" s="58"/>
      <c r="Q303" s="58"/>
      <c r="R303" s="58"/>
      <c r="S303" s="48"/>
    </row>
    <row r="304" spans="2:25">
      <c r="B304" s="47" t="s">
        <v>3891</v>
      </c>
      <c r="C304" s="41" t="s">
        <v>2955</v>
      </c>
      <c r="D304" s="60"/>
      <c r="E304" s="60"/>
      <c r="F304" s="60"/>
      <c r="G304" s="60"/>
      <c r="H304" s="60"/>
      <c r="I304" s="60"/>
      <c r="J304" s="60"/>
      <c r="K304" s="65"/>
      <c r="L304" s="58"/>
      <c r="M304" s="58"/>
      <c r="N304" s="58"/>
      <c r="O304" s="58"/>
      <c r="P304" s="58"/>
      <c r="Q304" s="58"/>
      <c r="R304" s="58"/>
      <c r="S304" s="48"/>
    </row>
    <row r="305" spans="2:25">
      <c r="B305" s="47" t="s">
        <v>3892</v>
      </c>
      <c r="C305" s="41" t="s">
        <v>2957</v>
      </c>
      <c r="D305" s="60"/>
      <c r="E305" s="60"/>
      <c r="F305" s="60"/>
      <c r="G305" s="60"/>
      <c r="H305" s="60"/>
      <c r="I305" s="60"/>
      <c r="J305" s="65"/>
      <c r="K305" s="58"/>
      <c r="L305" s="58"/>
      <c r="M305" s="58"/>
      <c r="N305" s="58"/>
      <c r="O305" s="58"/>
      <c r="P305" s="58"/>
      <c r="Q305" s="58"/>
      <c r="R305" s="58"/>
      <c r="S305" s="48"/>
    </row>
    <row r="306" spans="2:25">
      <c r="B306" s="47" t="s">
        <v>3893</v>
      </c>
      <c r="C306" s="41" t="s">
        <v>2959</v>
      </c>
      <c r="D306" s="60"/>
      <c r="E306" s="60"/>
      <c r="F306" s="60"/>
      <c r="G306" s="60"/>
      <c r="H306" s="60"/>
      <c r="I306" s="65"/>
      <c r="J306" s="58"/>
      <c r="K306" s="58"/>
      <c r="L306" s="58"/>
      <c r="M306" s="58"/>
      <c r="N306" s="58"/>
      <c r="O306" s="58"/>
      <c r="P306" s="58"/>
      <c r="Q306" s="58"/>
      <c r="R306" s="58"/>
      <c r="S306" s="48"/>
    </row>
    <row r="307" spans="2:25">
      <c r="B307" s="47" t="s">
        <v>3894</v>
      </c>
      <c r="C307" s="41" t="s">
        <v>2961</v>
      </c>
      <c r="D307" s="60"/>
      <c r="E307" s="60"/>
      <c r="F307" s="60"/>
      <c r="G307" s="60"/>
      <c r="H307" s="65"/>
      <c r="I307" s="58"/>
      <c r="J307" s="58"/>
      <c r="K307" s="58"/>
      <c r="L307" s="58"/>
      <c r="M307" s="58"/>
      <c r="N307" s="58"/>
      <c r="O307" s="58"/>
      <c r="P307" s="58"/>
      <c r="Q307" s="58"/>
      <c r="R307" s="58"/>
      <c r="S307" s="48"/>
    </row>
    <row r="308" spans="2:25">
      <c r="B308" s="47" t="s">
        <v>3895</v>
      </c>
      <c r="C308" s="41" t="s">
        <v>2963</v>
      </c>
      <c r="D308" s="60"/>
      <c r="E308" s="60"/>
      <c r="F308" s="60"/>
      <c r="G308" s="65"/>
      <c r="H308" s="58"/>
      <c r="I308" s="58"/>
      <c r="J308" s="58"/>
      <c r="K308" s="58"/>
      <c r="L308" s="58"/>
      <c r="M308" s="58"/>
      <c r="N308" s="58"/>
      <c r="O308" s="58"/>
      <c r="P308" s="58"/>
      <c r="Q308" s="58"/>
      <c r="R308" s="58"/>
      <c r="S308" s="48"/>
    </row>
    <row r="309" spans="2:25">
      <c r="B309" s="47" t="s">
        <v>3896</v>
      </c>
      <c r="C309" s="41" t="s">
        <v>2965</v>
      </c>
      <c r="D309" s="60"/>
      <c r="E309" s="60"/>
      <c r="F309" s="65"/>
      <c r="G309" s="58"/>
      <c r="H309" s="58"/>
      <c r="I309" s="58"/>
      <c r="J309" s="58"/>
      <c r="K309" s="58"/>
      <c r="L309" s="58"/>
      <c r="M309" s="58"/>
      <c r="N309" s="58"/>
      <c r="O309" s="58"/>
      <c r="P309" s="58"/>
      <c r="Q309" s="58"/>
      <c r="R309" s="58"/>
      <c r="S309" s="48"/>
    </row>
    <row r="310" spans="2:25">
      <c r="B310" s="47" t="s">
        <v>3897</v>
      </c>
      <c r="C310" s="41" t="s">
        <v>2967</v>
      </c>
      <c r="D310" s="60"/>
      <c r="E310" s="65"/>
      <c r="F310" s="58"/>
      <c r="G310" s="58"/>
      <c r="H310" s="58"/>
      <c r="I310" s="58"/>
      <c r="J310" s="58"/>
      <c r="K310" s="58"/>
      <c r="L310" s="58"/>
      <c r="M310" s="58"/>
      <c r="N310" s="58"/>
      <c r="O310" s="58"/>
      <c r="P310" s="58"/>
      <c r="Q310" s="58"/>
      <c r="R310" s="58"/>
      <c r="S310" s="48"/>
    </row>
    <row r="311" spans="2:25">
      <c r="B311" s="47" t="s">
        <v>3898</v>
      </c>
      <c r="C311" s="41" t="s">
        <v>2969</v>
      </c>
      <c r="D311" s="64"/>
      <c r="E311" s="56"/>
      <c r="F311" s="56"/>
      <c r="G311" s="56"/>
      <c r="H311" s="56"/>
      <c r="I311" s="56"/>
      <c r="J311" s="56"/>
      <c r="K311" s="56"/>
      <c r="L311" s="56"/>
      <c r="M311" s="56"/>
      <c r="N311" s="56"/>
      <c r="O311" s="56"/>
      <c r="P311" s="56"/>
      <c r="Q311" s="56"/>
      <c r="R311" s="56"/>
      <c r="S311" s="46"/>
    </row>
    <row r="313" spans="2:25">
      <c r="X313" s="13" t="str">
        <f>Show!$B$87&amp;Show!$B$87&amp;"S.19.01.01.09 Rows {"&amp;COLUMN($C$1)&amp;"}"</f>
        <v>!!S.19.01.01.09 Rows {3}</v>
      </c>
      <c r="Y313" s="13" t="str">
        <f>Show!$B$87&amp;Show!$B$87&amp;"S.19.01.01.09 Columns {"&amp;COLUMN($S$1)&amp;"}"</f>
        <v>!!S.19.01.01.09 Columns {19}</v>
      </c>
    </row>
    <row r="315" spans="2:25" ht="18.75">
      <c r="B315" s="88" t="s">
        <v>4005</v>
      </c>
      <c r="C315" s="87"/>
      <c r="D315" s="87"/>
      <c r="E315" s="87"/>
      <c r="F315" s="87"/>
      <c r="G315" s="87"/>
      <c r="H315" s="87"/>
      <c r="I315" s="87"/>
      <c r="J315" s="87"/>
      <c r="K315" s="87"/>
      <c r="L315" s="87"/>
    </row>
    <row r="317" spans="2:25">
      <c r="B317" t="s">
        <v>3110</v>
      </c>
      <c r="X317" s="13" t="str">
        <f>Show!$B$87&amp;"S.19.01.01.10 Table label {"&amp;COLUMN($C$1)&amp;"}"</f>
        <v>!S.19.01.01.10 Table label {3}</v>
      </c>
      <c r="Y317" s="13" t="str">
        <f>Show!$B$87&amp;"S.19.01.01.10 Table value {"&amp;COLUMN($D$1)&amp;"}"</f>
        <v>!S.19.01.01.10 Table value {4}</v>
      </c>
    </row>
    <row r="318" spans="2:25">
      <c r="B318" t="s">
        <v>3111</v>
      </c>
    </row>
    <row r="319" spans="2:25">
      <c r="B319" s="40" t="s">
        <v>3427</v>
      </c>
      <c r="C319" s="53" t="s">
        <v>3113</v>
      </c>
      <c r="D319" s="51"/>
    </row>
    <row r="320" spans="2:25">
      <c r="B320" s="40" t="s">
        <v>3868</v>
      </c>
      <c r="C320" s="53" t="s">
        <v>3115</v>
      </c>
      <c r="D320" s="51"/>
    </row>
    <row r="321" spans="2:25">
      <c r="B321" s="40" t="s">
        <v>3606</v>
      </c>
      <c r="C321" s="53" t="s">
        <v>3323</v>
      </c>
      <c r="D321" s="51"/>
    </row>
    <row r="322" spans="2:25">
      <c r="B322" s="40" t="s">
        <v>3874</v>
      </c>
      <c r="C322" s="53" t="s">
        <v>3875</v>
      </c>
      <c r="D322" s="51"/>
    </row>
    <row r="323" spans="2:25">
      <c r="X323" s="13" t="str">
        <f>Show!$B$87&amp;Show!$B$87&amp;"S.19.01.01.10 Table label {"&amp;COLUMN($C$1)&amp;"}"</f>
        <v>!!S.19.01.01.10 Table label {3}</v>
      </c>
      <c r="Y323" s="13" t="str">
        <f>Show!$B$87&amp;Show!$B$87&amp;"S.19.01.01.10 Table value {"&amp;COLUMN($D$1)&amp;"}"</f>
        <v>!!S.19.01.01.10 Table value {4}</v>
      </c>
    </row>
    <row r="325" spans="2:25">
      <c r="D325" s="89" t="s">
        <v>2877</v>
      </c>
    </row>
    <row r="326" spans="2:25">
      <c r="D326" s="91"/>
    </row>
    <row r="327" spans="2:25">
      <c r="D327" s="55" t="s">
        <v>3953</v>
      </c>
    </row>
    <row r="328" spans="2:25">
      <c r="D328" s="45" t="s">
        <v>4006</v>
      </c>
      <c r="X328" s="13" t="str">
        <f>Show!$B$87&amp;"S.19.01.01.10 Rows {"&amp;COLUMN($C$1)&amp;"}"&amp;"@ForceFilingCode:true"</f>
        <v>!S.19.01.01.10 Rows {3}@ForceFilingCode:true</v>
      </c>
      <c r="Y328" s="13" t="str">
        <f>Show!$B$87&amp;"S.19.01.01.10 Columns {"&amp;COLUMN($D$1)&amp;"}"</f>
        <v>!S.19.01.01.10 Columns {4}</v>
      </c>
    </row>
    <row r="329" spans="2:25">
      <c r="B329" s="43" t="s">
        <v>2880</v>
      </c>
      <c r="C329" s="44" t="s">
        <v>2878</v>
      </c>
      <c r="D329" s="46"/>
    </row>
    <row r="330" spans="2:25">
      <c r="B330" s="47" t="s">
        <v>3947</v>
      </c>
      <c r="C330" s="41" t="s">
        <v>2939</v>
      </c>
      <c r="D330" s="60"/>
    </row>
    <row r="331" spans="2:25">
      <c r="B331" s="47" t="s">
        <v>3884</v>
      </c>
      <c r="C331" s="41" t="s">
        <v>2941</v>
      </c>
      <c r="D331" s="60"/>
    </row>
    <row r="332" spans="2:25">
      <c r="B332" s="47" t="s">
        <v>3885</v>
      </c>
      <c r="C332" s="41" t="s">
        <v>2943</v>
      </c>
      <c r="D332" s="60"/>
    </row>
    <row r="333" spans="2:25">
      <c r="B333" s="47" t="s">
        <v>3886</v>
      </c>
      <c r="C333" s="41" t="s">
        <v>2945</v>
      </c>
      <c r="D333" s="60"/>
    </row>
    <row r="334" spans="2:25">
      <c r="B334" s="47" t="s">
        <v>3887</v>
      </c>
      <c r="C334" s="41" t="s">
        <v>2947</v>
      </c>
      <c r="D334" s="60"/>
    </row>
    <row r="335" spans="2:25">
      <c r="B335" s="47" t="s">
        <v>3888</v>
      </c>
      <c r="C335" s="41" t="s">
        <v>2949</v>
      </c>
      <c r="D335" s="60"/>
    </row>
    <row r="336" spans="2:25">
      <c r="B336" s="47" t="s">
        <v>3889</v>
      </c>
      <c r="C336" s="41" t="s">
        <v>2951</v>
      </c>
      <c r="D336" s="60"/>
    </row>
    <row r="337" spans="2:25">
      <c r="B337" s="47" t="s">
        <v>3890</v>
      </c>
      <c r="C337" s="41" t="s">
        <v>2953</v>
      </c>
      <c r="D337" s="60"/>
    </row>
    <row r="338" spans="2:25">
      <c r="B338" s="47" t="s">
        <v>3891</v>
      </c>
      <c r="C338" s="41" t="s">
        <v>2955</v>
      </c>
      <c r="D338" s="60"/>
    </row>
    <row r="339" spans="2:25">
      <c r="B339" s="47" t="s">
        <v>3892</v>
      </c>
      <c r="C339" s="41" t="s">
        <v>2957</v>
      </c>
      <c r="D339" s="60"/>
    </row>
    <row r="340" spans="2:25">
      <c r="B340" s="47" t="s">
        <v>3893</v>
      </c>
      <c r="C340" s="41" t="s">
        <v>2959</v>
      </c>
      <c r="D340" s="60"/>
    </row>
    <row r="341" spans="2:25">
      <c r="B341" s="47" t="s">
        <v>3894</v>
      </c>
      <c r="C341" s="41" t="s">
        <v>2961</v>
      </c>
      <c r="D341" s="60"/>
    </row>
    <row r="342" spans="2:25">
      <c r="B342" s="47" t="s">
        <v>3895</v>
      </c>
      <c r="C342" s="41" t="s">
        <v>2963</v>
      </c>
      <c r="D342" s="60"/>
    </row>
    <row r="343" spans="2:25">
      <c r="B343" s="47" t="s">
        <v>3896</v>
      </c>
      <c r="C343" s="41" t="s">
        <v>2965</v>
      </c>
      <c r="D343" s="60"/>
    </row>
    <row r="344" spans="2:25">
      <c r="B344" s="47" t="s">
        <v>3897</v>
      </c>
      <c r="C344" s="41" t="s">
        <v>2967</v>
      </c>
      <c r="D344" s="60"/>
    </row>
    <row r="345" spans="2:25">
      <c r="B345" s="47" t="s">
        <v>3898</v>
      </c>
      <c r="C345" s="41" t="s">
        <v>2969</v>
      </c>
      <c r="D345" s="60"/>
    </row>
    <row r="346" spans="2:25">
      <c r="B346" s="47" t="s">
        <v>3480</v>
      </c>
      <c r="C346" s="41" t="s">
        <v>2971</v>
      </c>
      <c r="D346" s="60"/>
    </row>
    <row r="348" spans="2:25">
      <c r="X348" s="13" t="str">
        <f>Show!$B$87&amp;Show!$B$87&amp;"S.19.01.01.10 Rows {"&amp;COLUMN($C$1)&amp;"}"</f>
        <v>!!S.19.01.01.10 Rows {3}</v>
      </c>
      <c r="Y348" s="13" t="str">
        <f>Show!$B$87&amp;Show!$B$87&amp;"S.19.01.01.10 Columns {"&amp;COLUMN($D$1)&amp;"}"</f>
        <v>!!S.19.01.01.10 Columns {4}</v>
      </c>
    </row>
    <row r="350" spans="2:25" ht="18.75">
      <c r="B350" s="88" t="s">
        <v>4007</v>
      </c>
      <c r="C350" s="87"/>
      <c r="D350" s="87"/>
      <c r="E350" s="87"/>
      <c r="F350" s="87"/>
      <c r="G350" s="87"/>
      <c r="H350" s="87"/>
      <c r="I350" s="87"/>
      <c r="J350" s="87"/>
      <c r="K350" s="87"/>
      <c r="L350" s="87"/>
    </row>
    <row r="352" spans="2:25">
      <c r="B352" t="s">
        <v>3110</v>
      </c>
      <c r="X352" s="13" t="str">
        <f>Show!$B$87&amp;"S.19.01.01.11 Table label {"&amp;COLUMN($C$1)&amp;"}"</f>
        <v>!S.19.01.01.11 Table label {3}</v>
      </c>
      <c r="Y352" s="13" t="str">
        <f>Show!$B$87&amp;"S.19.01.01.11 Table value {"&amp;COLUMN($D$1)&amp;"}"</f>
        <v>!S.19.01.01.11 Table value {4}</v>
      </c>
    </row>
    <row r="353" spans="2:25">
      <c r="B353" t="s">
        <v>3111</v>
      </c>
    </row>
    <row r="354" spans="2:25">
      <c r="B354" s="40" t="s">
        <v>3427</v>
      </c>
      <c r="C354" s="53" t="s">
        <v>3113</v>
      </c>
      <c r="D354" s="51"/>
    </row>
    <row r="355" spans="2:25">
      <c r="B355" s="40" t="s">
        <v>3868</v>
      </c>
      <c r="C355" s="53" t="s">
        <v>3115</v>
      </c>
      <c r="D355" s="51"/>
    </row>
    <row r="356" spans="2:25">
      <c r="B356" s="40" t="s">
        <v>3606</v>
      </c>
      <c r="C356" s="53" t="s">
        <v>3323</v>
      </c>
      <c r="D356" s="51"/>
    </row>
    <row r="357" spans="2:25">
      <c r="B357" s="40" t="s">
        <v>3874</v>
      </c>
      <c r="C357" s="53" t="s">
        <v>3875</v>
      </c>
      <c r="D357" s="51"/>
    </row>
    <row r="358" spans="2:25">
      <c r="X358" s="13" t="str">
        <f>Show!$B$87&amp;Show!$B$87&amp;"S.19.01.01.11 Table label {"&amp;COLUMN($C$1)&amp;"}"</f>
        <v>!!S.19.01.01.11 Table label {3}</v>
      </c>
      <c r="Y358" s="13" t="str">
        <f>Show!$B$87&amp;Show!$B$87&amp;"S.19.01.01.11 Table value {"&amp;COLUMN($D$1)&amp;"}"</f>
        <v>!!S.19.01.01.11 Table value {4}</v>
      </c>
    </row>
    <row r="360" spans="2:25">
      <c r="D360" s="92" t="s">
        <v>2877</v>
      </c>
      <c r="E360" s="93"/>
      <c r="F360" s="93"/>
      <c r="G360" s="93"/>
      <c r="H360" s="93"/>
      <c r="I360" s="93"/>
      <c r="J360" s="93"/>
      <c r="K360" s="93"/>
      <c r="L360" s="93"/>
      <c r="M360" s="93"/>
      <c r="N360" s="93"/>
      <c r="O360" s="93"/>
      <c r="P360" s="93"/>
      <c r="Q360" s="93"/>
      <c r="R360" s="93"/>
      <c r="S360" s="94"/>
    </row>
    <row r="361" spans="2:25">
      <c r="D361" s="95"/>
      <c r="E361" s="96"/>
      <c r="F361" s="96"/>
      <c r="G361" s="96"/>
      <c r="H361" s="96"/>
      <c r="I361" s="96"/>
      <c r="J361" s="96"/>
      <c r="K361" s="96"/>
      <c r="L361" s="96"/>
      <c r="M361" s="96"/>
      <c r="N361" s="96"/>
      <c r="O361" s="96"/>
      <c r="P361" s="96"/>
      <c r="Q361" s="96"/>
      <c r="R361" s="96"/>
      <c r="S361" s="97"/>
    </row>
    <row r="362" spans="2:25">
      <c r="D362" s="55">
        <v>0</v>
      </c>
      <c r="E362" s="55">
        <v>1</v>
      </c>
      <c r="F362" s="55">
        <v>2</v>
      </c>
      <c r="G362" s="55">
        <v>3</v>
      </c>
      <c r="H362" s="55">
        <v>4</v>
      </c>
      <c r="I362" s="55">
        <v>5</v>
      </c>
      <c r="J362" s="55">
        <v>6</v>
      </c>
      <c r="K362" s="55">
        <v>7</v>
      </c>
      <c r="L362" s="55">
        <v>8</v>
      </c>
      <c r="M362" s="55">
        <v>9</v>
      </c>
      <c r="N362" s="55">
        <v>10</v>
      </c>
      <c r="O362" s="55">
        <v>11</v>
      </c>
      <c r="P362" s="55">
        <v>12</v>
      </c>
      <c r="Q362" s="55">
        <v>13</v>
      </c>
      <c r="R362" s="55">
        <v>14</v>
      </c>
      <c r="S362" s="55" t="s">
        <v>3946</v>
      </c>
    </row>
    <row r="363" spans="2:25">
      <c r="D363" s="45" t="s">
        <v>4008</v>
      </c>
      <c r="E363" s="45" t="s">
        <v>4009</v>
      </c>
      <c r="F363" s="45" t="s">
        <v>4010</v>
      </c>
      <c r="G363" s="45" t="s">
        <v>4011</v>
      </c>
      <c r="H363" s="45" t="s">
        <v>4012</v>
      </c>
      <c r="I363" s="45" t="s">
        <v>4013</v>
      </c>
      <c r="J363" s="45" t="s">
        <v>4014</v>
      </c>
      <c r="K363" s="45" t="s">
        <v>4015</v>
      </c>
      <c r="L363" s="45" t="s">
        <v>4016</v>
      </c>
      <c r="M363" s="45" t="s">
        <v>4017</v>
      </c>
      <c r="N363" s="45" t="s">
        <v>4018</v>
      </c>
      <c r="O363" s="45" t="s">
        <v>4019</v>
      </c>
      <c r="P363" s="45" t="s">
        <v>4020</v>
      </c>
      <c r="Q363" s="45" t="s">
        <v>4021</v>
      </c>
      <c r="R363" s="45" t="s">
        <v>4022</v>
      </c>
      <c r="S363" s="45" t="s">
        <v>4023</v>
      </c>
      <c r="X363" s="13" t="str">
        <f>Show!$B$87&amp;"S.19.01.01.11 Rows {"&amp;COLUMN($C$1)&amp;"}"&amp;"@ForceFilingCode:true"</f>
        <v>!S.19.01.01.11 Rows {3}@ForceFilingCode:true</v>
      </c>
      <c r="Y363" s="13" t="str">
        <f>Show!$B$87&amp;"S.19.01.01.11 Columns {"&amp;COLUMN($D$1)&amp;"}"</f>
        <v>!S.19.01.01.11 Columns {4}</v>
      </c>
    </row>
    <row r="364" spans="2:25">
      <c r="B364" s="43" t="s">
        <v>2880</v>
      </c>
      <c r="C364" s="44" t="s">
        <v>2878</v>
      </c>
      <c r="D364" s="58"/>
      <c r="E364" s="67"/>
      <c r="F364" s="67"/>
      <c r="G364" s="67"/>
      <c r="H364" s="67"/>
      <c r="I364" s="67"/>
      <c r="J364" s="67"/>
      <c r="K364" s="67"/>
      <c r="L364" s="67"/>
      <c r="M364" s="67"/>
      <c r="N364" s="67"/>
      <c r="O364" s="67"/>
      <c r="P364" s="67"/>
      <c r="Q364" s="67"/>
      <c r="R364" s="67"/>
      <c r="S364" s="57"/>
    </row>
    <row r="365" spans="2:25">
      <c r="B365" s="47" t="s">
        <v>3947</v>
      </c>
      <c r="C365" s="44" t="s">
        <v>2939</v>
      </c>
      <c r="D365" s="56"/>
      <c r="E365" s="56"/>
      <c r="F365" s="56"/>
      <c r="G365" s="56"/>
      <c r="H365" s="56"/>
      <c r="I365" s="56"/>
      <c r="J365" s="56"/>
      <c r="K365" s="56"/>
      <c r="L365" s="56"/>
      <c r="M365" s="56"/>
      <c r="N365" s="56"/>
      <c r="O365" s="56"/>
      <c r="P365" s="56"/>
      <c r="Q365" s="56"/>
      <c r="R365" s="46"/>
      <c r="S365" s="63"/>
    </row>
    <row r="366" spans="2:25">
      <c r="B366" s="47" t="s">
        <v>3884</v>
      </c>
      <c r="C366" s="41" t="s">
        <v>2941</v>
      </c>
      <c r="D366" s="60"/>
      <c r="E366" s="60"/>
      <c r="F366" s="60"/>
      <c r="G366" s="60"/>
      <c r="H366" s="60"/>
      <c r="I366" s="60"/>
      <c r="J366" s="60"/>
      <c r="K366" s="60"/>
      <c r="L366" s="60"/>
      <c r="M366" s="60"/>
      <c r="N366" s="60"/>
      <c r="O366" s="60"/>
      <c r="P366" s="60"/>
      <c r="Q366" s="60"/>
      <c r="R366" s="65"/>
      <c r="S366" s="48"/>
    </row>
    <row r="367" spans="2:25">
      <c r="B367" s="47" t="s">
        <v>3885</v>
      </c>
      <c r="C367" s="41" t="s">
        <v>2943</v>
      </c>
      <c r="D367" s="60"/>
      <c r="E367" s="60"/>
      <c r="F367" s="60"/>
      <c r="G367" s="60"/>
      <c r="H367" s="60"/>
      <c r="I367" s="60"/>
      <c r="J367" s="60"/>
      <c r="K367" s="60"/>
      <c r="L367" s="60"/>
      <c r="M367" s="60"/>
      <c r="N367" s="60"/>
      <c r="O367" s="60"/>
      <c r="P367" s="60"/>
      <c r="Q367" s="65"/>
      <c r="R367" s="58"/>
      <c r="S367" s="48"/>
    </row>
    <row r="368" spans="2:25">
      <c r="B368" s="47" t="s">
        <v>3886</v>
      </c>
      <c r="C368" s="41" t="s">
        <v>2945</v>
      </c>
      <c r="D368" s="60"/>
      <c r="E368" s="60"/>
      <c r="F368" s="60"/>
      <c r="G368" s="60"/>
      <c r="H368" s="60"/>
      <c r="I368" s="60"/>
      <c r="J368" s="60"/>
      <c r="K368" s="60"/>
      <c r="L368" s="60"/>
      <c r="M368" s="60"/>
      <c r="N368" s="60"/>
      <c r="O368" s="60"/>
      <c r="P368" s="65"/>
      <c r="Q368" s="58"/>
      <c r="R368" s="58"/>
      <c r="S368" s="48"/>
    </row>
    <row r="369" spans="2:25">
      <c r="B369" s="47" t="s">
        <v>3887</v>
      </c>
      <c r="C369" s="41" t="s">
        <v>2947</v>
      </c>
      <c r="D369" s="60"/>
      <c r="E369" s="60"/>
      <c r="F369" s="60"/>
      <c r="G369" s="60"/>
      <c r="H369" s="60"/>
      <c r="I369" s="60"/>
      <c r="J369" s="60"/>
      <c r="K369" s="60"/>
      <c r="L369" s="60"/>
      <c r="M369" s="60"/>
      <c r="N369" s="60"/>
      <c r="O369" s="65"/>
      <c r="P369" s="58"/>
      <c r="Q369" s="58"/>
      <c r="R369" s="58"/>
      <c r="S369" s="48"/>
    </row>
    <row r="370" spans="2:25">
      <c r="B370" s="47" t="s">
        <v>3888</v>
      </c>
      <c r="C370" s="41" t="s">
        <v>2949</v>
      </c>
      <c r="D370" s="60"/>
      <c r="E370" s="60"/>
      <c r="F370" s="60"/>
      <c r="G370" s="60"/>
      <c r="H370" s="60"/>
      <c r="I370" s="60"/>
      <c r="J370" s="60"/>
      <c r="K370" s="60"/>
      <c r="L370" s="60"/>
      <c r="M370" s="60"/>
      <c r="N370" s="65"/>
      <c r="O370" s="58"/>
      <c r="P370" s="58"/>
      <c r="Q370" s="58"/>
      <c r="R370" s="58"/>
      <c r="S370" s="48"/>
    </row>
    <row r="371" spans="2:25">
      <c r="B371" s="47" t="s">
        <v>3889</v>
      </c>
      <c r="C371" s="41" t="s">
        <v>2951</v>
      </c>
      <c r="D371" s="60"/>
      <c r="E371" s="60"/>
      <c r="F371" s="60"/>
      <c r="G371" s="60"/>
      <c r="H371" s="60"/>
      <c r="I371" s="60"/>
      <c r="J371" s="60"/>
      <c r="K371" s="60"/>
      <c r="L371" s="60"/>
      <c r="M371" s="65"/>
      <c r="N371" s="58"/>
      <c r="O371" s="58"/>
      <c r="P371" s="58"/>
      <c r="Q371" s="58"/>
      <c r="R371" s="58"/>
      <c r="S371" s="48"/>
    </row>
    <row r="372" spans="2:25">
      <c r="B372" s="47" t="s">
        <v>3890</v>
      </c>
      <c r="C372" s="41" t="s">
        <v>2953</v>
      </c>
      <c r="D372" s="60"/>
      <c r="E372" s="60"/>
      <c r="F372" s="60"/>
      <c r="G372" s="60"/>
      <c r="H372" s="60"/>
      <c r="I372" s="60"/>
      <c r="J372" s="60"/>
      <c r="K372" s="60"/>
      <c r="L372" s="65"/>
      <c r="M372" s="58"/>
      <c r="N372" s="58"/>
      <c r="O372" s="58"/>
      <c r="P372" s="58"/>
      <c r="Q372" s="58"/>
      <c r="R372" s="58"/>
      <c r="S372" s="48"/>
    </row>
    <row r="373" spans="2:25">
      <c r="B373" s="47" t="s">
        <v>3891</v>
      </c>
      <c r="C373" s="41" t="s">
        <v>2955</v>
      </c>
      <c r="D373" s="60"/>
      <c r="E373" s="60"/>
      <c r="F373" s="60"/>
      <c r="G373" s="60"/>
      <c r="H373" s="60"/>
      <c r="I373" s="60"/>
      <c r="J373" s="60"/>
      <c r="K373" s="65"/>
      <c r="L373" s="58"/>
      <c r="M373" s="58"/>
      <c r="N373" s="58"/>
      <c r="O373" s="58"/>
      <c r="P373" s="58"/>
      <c r="Q373" s="58"/>
      <c r="R373" s="58"/>
      <c r="S373" s="48"/>
    </row>
    <row r="374" spans="2:25">
      <c r="B374" s="47" t="s">
        <v>3892</v>
      </c>
      <c r="C374" s="41" t="s">
        <v>2957</v>
      </c>
      <c r="D374" s="60"/>
      <c r="E374" s="60"/>
      <c r="F374" s="60"/>
      <c r="G374" s="60"/>
      <c r="H374" s="60"/>
      <c r="I374" s="60"/>
      <c r="J374" s="65"/>
      <c r="K374" s="58"/>
      <c r="L374" s="58"/>
      <c r="M374" s="58"/>
      <c r="N374" s="58"/>
      <c r="O374" s="58"/>
      <c r="P374" s="58"/>
      <c r="Q374" s="58"/>
      <c r="R374" s="58"/>
      <c r="S374" s="48"/>
    </row>
    <row r="375" spans="2:25">
      <c r="B375" s="47" t="s">
        <v>3893</v>
      </c>
      <c r="C375" s="41" t="s">
        <v>2959</v>
      </c>
      <c r="D375" s="60"/>
      <c r="E375" s="60"/>
      <c r="F375" s="60"/>
      <c r="G375" s="60"/>
      <c r="H375" s="60"/>
      <c r="I375" s="65"/>
      <c r="J375" s="58"/>
      <c r="K375" s="58"/>
      <c r="L375" s="58"/>
      <c r="M375" s="58"/>
      <c r="N375" s="58"/>
      <c r="O375" s="58"/>
      <c r="P375" s="58"/>
      <c r="Q375" s="58"/>
      <c r="R375" s="58"/>
      <c r="S375" s="48"/>
    </row>
    <row r="376" spans="2:25">
      <c r="B376" s="47" t="s">
        <v>3894</v>
      </c>
      <c r="C376" s="41" t="s">
        <v>2961</v>
      </c>
      <c r="D376" s="60"/>
      <c r="E376" s="60"/>
      <c r="F376" s="60"/>
      <c r="G376" s="60"/>
      <c r="H376" s="65"/>
      <c r="I376" s="58"/>
      <c r="J376" s="58"/>
      <c r="K376" s="58"/>
      <c r="L376" s="58"/>
      <c r="M376" s="58"/>
      <c r="N376" s="58"/>
      <c r="O376" s="58"/>
      <c r="P376" s="58"/>
      <c r="Q376" s="58"/>
      <c r="R376" s="58"/>
      <c r="S376" s="48"/>
    </row>
    <row r="377" spans="2:25">
      <c r="B377" s="47" t="s">
        <v>3895</v>
      </c>
      <c r="C377" s="41" t="s">
        <v>2963</v>
      </c>
      <c r="D377" s="60"/>
      <c r="E377" s="60"/>
      <c r="F377" s="60"/>
      <c r="G377" s="65"/>
      <c r="H377" s="58"/>
      <c r="I377" s="58"/>
      <c r="J377" s="58"/>
      <c r="K377" s="58"/>
      <c r="L377" s="58"/>
      <c r="M377" s="58"/>
      <c r="N377" s="58"/>
      <c r="O377" s="58"/>
      <c r="P377" s="58"/>
      <c r="Q377" s="58"/>
      <c r="R377" s="58"/>
      <c r="S377" s="48"/>
    </row>
    <row r="378" spans="2:25">
      <c r="B378" s="47" t="s">
        <v>3896</v>
      </c>
      <c r="C378" s="41" t="s">
        <v>2965</v>
      </c>
      <c r="D378" s="60"/>
      <c r="E378" s="60"/>
      <c r="F378" s="65"/>
      <c r="G378" s="58"/>
      <c r="H378" s="58"/>
      <c r="I378" s="58"/>
      <c r="J378" s="58"/>
      <c r="K378" s="58"/>
      <c r="L378" s="58"/>
      <c r="M378" s="58"/>
      <c r="N378" s="58"/>
      <c r="O378" s="58"/>
      <c r="P378" s="58"/>
      <c r="Q378" s="58"/>
      <c r="R378" s="58"/>
      <c r="S378" s="48"/>
    </row>
    <row r="379" spans="2:25">
      <c r="B379" s="47" t="s">
        <v>3897</v>
      </c>
      <c r="C379" s="41" t="s">
        <v>2967</v>
      </c>
      <c r="D379" s="60"/>
      <c r="E379" s="65"/>
      <c r="F379" s="58"/>
      <c r="G379" s="58"/>
      <c r="H379" s="58"/>
      <c r="I379" s="58"/>
      <c r="J379" s="58"/>
      <c r="K379" s="58"/>
      <c r="L379" s="58"/>
      <c r="M379" s="58"/>
      <c r="N379" s="58"/>
      <c r="O379" s="58"/>
      <c r="P379" s="58"/>
      <c r="Q379" s="58"/>
      <c r="R379" s="58"/>
      <c r="S379" s="48"/>
    </row>
    <row r="380" spans="2:25">
      <c r="B380" s="47" t="s">
        <v>3898</v>
      </c>
      <c r="C380" s="41" t="s">
        <v>2969</v>
      </c>
      <c r="D380" s="64"/>
      <c r="E380" s="56"/>
      <c r="F380" s="56"/>
      <c r="G380" s="56"/>
      <c r="H380" s="56"/>
      <c r="I380" s="56"/>
      <c r="J380" s="56"/>
      <c r="K380" s="56"/>
      <c r="L380" s="56"/>
      <c r="M380" s="56"/>
      <c r="N380" s="56"/>
      <c r="O380" s="56"/>
      <c r="P380" s="56"/>
      <c r="Q380" s="56"/>
      <c r="R380" s="56"/>
      <c r="S380" s="46"/>
    </row>
    <row r="382" spans="2:25">
      <c r="X382" s="13" t="str">
        <f>Show!$B$87&amp;Show!$B$87&amp;"S.19.01.01.11 Rows {"&amp;COLUMN($C$1)&amp;"}"</f>
        <v>!!S.19.01.01.11 Rows {3}</v>
      </c>
      <c r="Y382" s="13" t="str">
        <f>Show!$B$87&amp;Show!$B$87&amp;"S.19.01.01.11 Columns {"&amp;COLUMN($S$1)&amp;"}"</f>
        <v>!!S.19.01.01.11 Columns {19}</v>
      </c>
    </row>
    <row r="384" spans="2:25" ht="18.75">
      <c r="B384" s="88" t="s">
        <v>4024</v>
      </c>
      <c r="C384" s="87"/>
      <c r="D384" s="87"/>
      <c r="E384" s="87"/>
      <c r="F384" s="87"/>
      <c r="G384" s="87"/>
      <c r="H384" s="87"/>
      <c r="I384" s="87"/>
      <c r="J384" s="87"/>
      <c r="K384" s="87"/>
      <c r="L384" s="87"/>
    </row>
    <row r="386" spans="2:25">
      <c r="B386" t="s">
        <v>3110</v>
      </c>
      <c r="X386" s="13" t="str">
        <f>Show!$B$87&amp;"S.19.01.01.12 Table label {"&amp;COLUMN($C$1)&amp;"}"</f>
        <v>!S.19.01.01.12 Table label {3}</v>
      </c>
      <c r="Y386" s="13" t="str">
        <f>Show!$B$87&amp;"S.19.01.01.12 Table value {"&amp;COLUMN($D$1)&amp;"}"</f>
        <v>!S.19.01.01.12 Table value {4}</v>
      </c>
    </row>
    <row r="387" spans="2:25">
      <c r="B387" t="s">
        <v>3111</v>
      </c>
    </row>
    <row r="388" spans="2:25">
      <c r="B388" s="40" t="s">
        <v>3427</v>
      </c>
      <c r="C388" s="53" t="s">
        <v>3113</v>
      </c>
      <c r="D388" s="51"/>
    </row>
    <row r="389" spans="2:25">
      <c r="B389" s="40" t="s">
        <v>3868</v>
      </c>
      <c r="C389" s="53" t="s">
        <v>3115</v>
      </c>
      <c r="D389" s="51"/>
    </row>
    <row r="390" spans="2:25">
      <c r="B390" s="40" t="s">
        <v>3606</v>
      </c>
      <c r="C390" s="53" t="s">
        <v>3323</v>
      </c>
      <c r="D390" s="51"/>
    </row>
    <row r="391" spans="2:25">
      <c r="B391" s="40" t="s">
        <v>3874</v>
      </c>
      <c r="C391" s="53" t="s">
        <v>3875</v>
      </c>
      <c r="D391" s="51"/>
    </row>
    <row r="392" spans="2:25">
      <c r="X392" s="13" t="str">
        <f>Show!$B$87&amp;Show!$B$87&amp;"S.19.01.01.12 Table label {"&amp;COLUMN($C$1)&amp;"}"</f>
        <v>!!S.19.01.01.12 Table label {3}</v>
      </c>
      <c r="Y392" s="13" t="str">
        <f>Show!$B$87&amp;Show!$B$87&amp;"S.19.01.01.12 Table value {"&amp;COLUMN($D$1)&amp;"}"</f>
        <v>!!S.19.01.01.12 Table value {4}</v>
      </c>
    </row>
    <row r="394" spans="2:25">
      <c r="D394" s="89" t="s">
        <v>2877</v>
      </c>
    </row>
    <row r="395" spans="2:25">
      <c r="D395" s="91"/>
    </row>
    <row r="396" spans="2:25">
      <c r="D396" s="55" t="s">
        <v>3953</v>
      </c>
    </row>
    <row r="397" spans="2:25">
      <c r="D397" s="45" t="s">
        <v>4025</v>
      </c>
      <c r="X397" s="13" t="str">
        <f>Show!$B$87&amp;"S.19.01.01.12 Rows {"&amp;COLUMN($C$1)&amp;"}"&amp;"@ForceFilingCode:true"</f>
        <v>!S.19.01.01.12 Rows {3}@ForceFilingCode:true</v>
      </c>
      <c r="Y397" s="13" t="str">
        <f>Show!$B$87&amp;"S.19.01.01.12 Columns {"&amp;COLUMN($D$1)&amp;"}"</f>
        <v>!S.19.01.01.12 Columns {4}</v>
      </c>
    </row>
    <row r="398" spans="2:25">
      <c r="B398" s="43" t="s">
        <v>2880</v>
      </c>
      <c r="C398" s="44" t="s">
        <v>2878</v>
      </c>
      <c r="D398" s="46"/>
    </row>
    <row r="399" spans="2:25">
      <c r="B399" s="47" t="s">
        <v>3947</v>
      </c>
      <c r="C399" s="41" t="s">
        <v>2939</v>
      </c>
      <c r="D399" s="60"/>
    </row>
    <row r="400" spans="2:25">
      <c r="B400" s="47" t="s">
        <v>3884</v>
      </c>
      <c r="C400" s="41" t="s">
        <v>2941</v>
      </c>
      <c r="D400" s="60"/>
    </row>
    <row r="401" spans="2:4">
      <c r="B401" s="47" t="s">
        <v>3885</v>
      </c>
      <c r="C401" s="41" t="s">
        <v>2943</v>
      </c>
      <c r="D401" s="60"/>
    </row>
    <row r="402" spans="2:4">
      <c r="B402" s="47" t="s">
        <v>3886</v>
      </c>
      <c r="C402" s="41" t="s">
        <v>2945</v>
      </c>
      <c r="D402" s="60"/>
    </row>
    <row r="403" spans="2:4">
      <c r="B403" s="47" t="s">
        <v>3887</v>
      </c>
      <c r="C403" s="41" t="s">
        <v>2947</v>
      </c>
      <c r="D403" s="60"/>
    </row>
    <row r="404" spans="2:4">
      <c r="B404" s="47" t="s">
        <v>3888</v>
      </c>
      <c r="C404" s="41" t="s">
        <v>2949</v>
      </c>
      <c r="D404" s="60"/>
    </row>
    <row r="405" spans="2:4">
      <c r="B405" s="47" t="s">
        <v>3889</v>
      </c>
      <c r="C405" s="41" t="s">
        <v>2951</v>
      </c>
      <c r="D405" s="60"/>
    </row>
    <row r="406" spans="2:4">
      <c r="B406" s="47" t="s">
        <v>3890</v>
      </c>
      <c r="C406" s="41" t="s">
        <v>2953</v>
      </c>
      <c r="D406" s="60"/>
    </row>
    <row r="407" spans="2:4">
      <c r="B407" s="47" t="s">
        <v>3891</v>
      </c>
      <c r="C407" s="41" t="s">
        <v>2955</v>
      </c>
      <c r="D407" s="60"/>
    </row>
    <row r="408" spans="2:4">
      <c r="B408" s="47" t="s">
        <v>3892</v>
      </c>
      <c r="C408" s="41" t="s">
        <v>2957</v>
      </c>
      <c r="D408" s="60"/>
    </row>
    <row r="409" spans="2:4">
      <c r="B409" s="47" t="s">
        <v>3893</v>
      </c>
      <c r="C409" s="41" t="s">
        <v>2959</v>
      </c>
      <c r="D409" s="60"/>
    </row>
    <row r="410" spans="2:4">
      <c r="B410" s="47" t="s">
        <v>3894</v>
      </c>
      <c r="C410" s="41" t="s">
        <v>2961</v>
      </c>
      <c r="D410" s="60"/>
    </row>
    <row r="411" spans="2:4">
      <c r="B411" s="47" t="s">
        <v>3895</v>
      </c>
      <c r="C411" s="41" t="s">
        <v>2963</v>
      </c>
      <c r="D411" s="60"/>
    </row>
    <row r="412" spans="2:4">
      <c r="B412" s="47" t="s">
        <v>3896</v>
      </c>
      <c r="C412" s="41" t="s">
        <v>2965</v>
      </c>
      <c r="D412" s="60"/>
    </row>
    <row r="413" spans="2:4">
      <c r="B413" s="47" t="s">
        <v>3897</v>
      </c>
      <c r="C413" s="41" t="s">
        <v>2967</v>
      </c>
      <c r="D413" s="60"/>
    </row>
    <row r="414" spans="2:4">
      <c r="B414" s="47" t="s">
        <v>3898</v>
      </c>
      <c r="C414" s="41" t="s">
        <v>2969</v>
      </c>
      <c r="D414" s="60"/>
    </row>
    <row r="415" spans="2:4">
      <c r="B415" s="47" t="s">
        <v>3480</v>
      </c>
      <c r="C415" s="41" t="s">
        <v>2971</v>
      </c>
      <c r="D415" s="60"/>
    </row>
    <row r="417" spans="2:25">
      <c r="X417" s="13" t="str">
        <f>Show!$B$87&amp;Show!$B$87&amp;"S.19.01.01.12 Rows {"&amp;COLUMN($C$1)&amp;"}"</f>
        <v>!!S.19.01.01.12 Rows {3}</v>
      </c>
      <c r="Y417" s="13" t="str">
        <f>Show!$B$87&amp;Show!$B$87&amp;"S.19.01.01.12 Columns {"&amp;COLUMN($D$1)&amp;"}"</f>
        <v>!!S.19.01.01.12 Columns {4}</v>
      </c>
    </row>
    <row r="419" spans="2:25" ht="18.75">
      <c r="B419" s="88" t="s">
        <v>4026</v>
      </c>
      <c r="C419" s="87"/>
      <c r="D419" s="87"/>
      <c r="E419" s="87"/>
      <c r="F419" s="87"/>
      <c r="G419" s="87"/>
      <c r="H419" s="87"/>
      <c r="I419" s="87"/>
      <c r="J419" s="87"/>
      <c r="K419" s="87"/>
      <c r="L419" s="87"/>
    </row>
    <row r="421" spans="2:25">
      <c r="B421" t="s">
        <v>3110</v>
      </c>
      <c r="X421" s="13" t="str">
        <f>Show!$B$87&amp;"S.19.01.01.13 Table label {"&amp;COLUMN($C$1)&amp;"}"</f>
        <v>!S.19.01.01.13 Table label {3}</v>
      </c>
      <c r="Y421" s="13" t="str">
        <f>Show!$B$87&amp;"S.19.01.01.13 Table value {"&amp;COLUMN($D$1)&amp;"}"</f>
        <v>!S.19.01.01.13 Table value {4}</v>
      </c>
    </row>
    <row r="422" spans="2:25">
      <c r="B422" t="s">
        <v>3111</v>
      </c>
    </row>
    <row r="423" spans="2:25">
      <c r="B423" s="40" t="s">
        <v>3427</v>
      </c>
      <c r="C423" s="53" t="s">
        <v>3113</v>
      </c>
      <c r="D423" s="51"/>
    </row>
    <row r="424" spans="2:25">
      <c r="B424" s="40" t="s">
        <v>3868</v>
      </c>
      <c r="C424" s="53" t="s">
        <v>3115</v>
      </c>
      <c r="D424" s="51"/>
    </row>
    <row r="425" spans="2:25">
      <c r="B425" s="40" t="s">
        <v>3606</v>
      </c>
      <c r="C425" s="53" t="s">
        <v>3323</v>
      </c>
      <c r="D425" s="51"/>
    </row>
    <row r="426" spans="2:25">
      <c r="B426" s="40" t="s">
        <v>3874</v>
      </c>
      <c r="C426" s="53" t="s">
        <v>3875</v>
      </c>
      <c r="D426" s="51"/>
    </row>
    <row r="427" spans="2:25">
      <c r="X427" s="13" t="str">
        <f>Show!$B$87&amp;Show!$B$87&amp;"S.19.01.01.13 Table label {"&amp;COLUMN($C$1)&amp;"}"</f>
        <v>!!S.19.01.01.13 Table label {3}</v>
      </c>
      <c r="Y427" s="13" t="str">
        <f>Show!$B$87&amp;Show!$B$87&amp;"S.19.01.01.13 Table value {"&amp;COLUMN($D$1)&amp;"}"</f>
        <v>!!S.19.01.01.13 Table value {4}</v>
      </c>
    </row>
    <row r="429" spans="2:25">
      <c r="D429" s="92" t="s">
        <v>2877</v>
      </c>
      <c r="E429" s="93"/>
      <c r="F429" s="93"/>
      <c r="G429" s="93"/>
      <c r="H429" s="93"/>
      <c r="I429" s="93"/>
      <c r="J429" s="93"/>
      <c r="K429" s="93"/>
      <c r="L429" s="93"/>
      <c r="M429" s="93"/>
      <c r="N429" s="93"/>
      <c r="O429" s="93"/>
      <c r="P429" s="93"/>
      <c r="Q429" s="93"/>
      <c r="R429" s="93"/>
      <c r="S429" s="94"/>
    </row>
    <row r="430" spans="2:25">
      <c r="D430" s="95"/>
      <c r="E430" s="96"/>
      <c r="F430" s="96"/>
      <c r="G430" s="96"/>
      <c r="H430" s="96"/>
      <c r="I430" s="96"/>
      <c r="J430" s="96"/>
      <c r="K430" s="96"/>
      <c r="L430" s="96"/>
      <c r="M430" s="96"/>
      <c r="N430" s="96"/>
      <c r="O430" s="96"/>
      <c r="P430" s="96"/>
      <c r="Q430" s="96"/>
      <c r="R430" s="96"/>
      <c r="S430" s="97"/>
    </row>
    <row r="431" spans="2:25">
      <c r="D431" s="55">
        <v>0</v>
      </c>
      <c r="E431" s="55">
        <v>1</v>
      </c>
      <c r="F431" s="55">
        <v>2</v>
      </c>
      <c r="G431" s="55">
        <v>3</v>
      </c>
      <c r="H431" s="55">
        <v>4</v>
      </c>
      <c r="I431" s="55">
        <v>5</v>
      </c>
      <c r="J431" s="55">
        <v>6</v>
      </c>
      <c r="K431" s="55">
        <v>7</v>
      </c>
      <c r="L431" s="55">
        <v>8</v>
      </c>
      <c r="M431" s="55">
        <v>9</v>
      </c>
      <c r="N431" s="55">
        <v>10</v>
      </c>
      <c r="O431" s="55">
        <v>11</v>
      </c>
      <c r="P431" s="55">
        <v>12</v>
      </c>
      <c r="Q431" s="55">
        <v>13</v>
      </c>
      <c r="R431" s="55">
        <v>14</v>
      </c>
      <c r="S431" s="55" t="s">
        <v>3946</v>
      </c>
    </row>
    <row r="432" spans="2:25">
      <c r="D432" s="45" t="s">
        <v>4027</v>
      </c>
      <c r="E432" s="45" t="s">
        <v>4028</v>
      </c>
      <c r="F432" s="45" t="s">
        <v>4029</v>
      </c>
      <c r="G432" s="45" t="s">
        <v>4030</v>
      </c>
      <c r="H432" s="45" t="s">
        <v>4031</v>
      </c>
      <c r="I432" s="45" t="s">
        <v>4032</v>
      </c>
      <c r="J432" s="45" t="s">
        <v>4033</v>
      </c>
      <c r="K432" s="45" t="s">
        <v>4034</v>
      </c>
      <c r="L432" s="45" t="s">
        <v>4035</v>
      </c>
      <c r="M432" s="45" t="s">
        <v>4036</v>
      </c>
      <c r="N432" s="45" t="s">
        <v>4037</v>
      </c>
      <c r="O432" s="45" t="s">
        <v>4038</v>
      </c>
      <c r="P432" s="45" t="s">
        <v>4039</v>
      </c>
      <c r="Q432" s="45" t="s">
        <v>4040</v>
      </c>
      <c r="R432" s="45" t="s">
        <v>4041</v>
      </c>
      <c r="S432" s="45" t="s">
        <v>4042</v>
      </c>
      <c r="X432" s="13" t="str">
        <f>Show!$B$87&amp;"S.19.01.01.13 Rows {"&amp;COLUMN($C$1)&amp;"}"&amp;"@ForceFilingCode:true"</f>
        <v>!S.19.01.01.13 Rows {3}@ForceFilingCode:true</v>
      </c>
      <c r="Y432" s="13" t="str">
        <f>Show!$B$87&amp;"S.19.01.01.13 Columns {"&amp;COLUMN($D$1)&amp;"}"</f>
        <v>!S.19.01.01.13 Columns {4}</v>
      </c>
    </row>
    <row r="433" spans="2:19">
      <c r="B433" s="43" t="s">
        <v>2880</v>
      </c>
      <c r="C433" s="44" t="s">
        <v>2878</v>
      </c>
      <c r="D433" s="58"/>
      <c r="E433" s="67"/>
      <c r="F433" s="67"/>
      <c r="G433" s="67"/>
      <c r="H433" s="67"/>
      <c r="I433" s="67"/>
      <c r="J433" s="67"/>
      <c r="K433" s="67"/>
      <c r="L433" s="67"/>
      <c r="M433" s="67"/>
      <c r="N433" s="67"/>
      <c r="O433" s="67"/>
      <c r="P433" s="67"/>
      <c r="Q433" s="67"/>
      <c r="R433" s="67"/>
      <c r="S433" s="57"/>
    </row>
    <row r="434" spans="2:19">
      <c r="B434" s="47" t="s">
        <v>3947</v>
      </c>
      <c r="C434" s="44" t="s">
        <v>2977</v>
      </c>
      <c r="D434" s="56"/>
      <c r="E434" s="56"/>
      <c r="F434" s="56"/>
      <c r="G434" s="56"/>
      <c r="H434" s="56"/>
      <c r="I434" s="56"/>
      <c r="J434" s="56"/>
      <c r="K434" s="56"/>
      <c r="L434" s="56"/>
      <c r="M434" s="56"/>
      <c r="N434" s="56"/>
      <c r="O434" s="56"/>
      <c r="P434" s="56"/>
      <c r="Q434" s="56"/>
      <c r="R434" s="46"/>
      <c r="S434" s="63"/>
    </row>
    <row r="435" spans="2:19">
      <c r="B435" s="47" t="s">
        <v>3884</v>
      </c>
      <c r="C435" s="41" t="s">
        <v>2979</v>
      </c>
      <c r="D435" s="60"/>
      <c r="E435" s="60"/>
      <c r="F435" s="60"/>
      <c r="G435" s="60"/>
      <c r="H435" s="60"/>
      <c r="I435" s="60"/>
      <c r="J435" s="60"/>
      <c r="K435" s="60"/>
      <c r="L435" s="60"/>
      <c r="M435" s="60"/>
      <c r="N435" s="60"/>
      <c r="O435" s="60"/>
      <c r="P435" s="60"/>
      <c r="Q435" s="60"/>
      <c r="R435" s="65"/>
      <c r="S435" s="48"/>
    </row>
    <row r="436" spans="2:19">
      <c r="B436" s="47" t="s">
        <v>3885</v>
      </c>
      <c r="C436" s="41" t="s">
        <v>2981</v>
      </c>
      <c r="D436" s="60"/>
      <c r="E436" s="60"/>
      <c r="F436" s="60"/>
      <c r="G436" s="60"/>
      <c r="H436" s="60"/>
      <c r="I436" s="60"/>
      <c r="J436" s="60"/>
      <c r="K436" s="60"/>
      <c r="L436" s="60"/>
      <c r="M436" s="60"/>
      <c r="N436" s="60"/>
      <c r="O436" s="60"/>
      <c r="P436" s="60"/>
      <c r="Q436" s="65"/>
      <c r="R436" s="58"/>
      <c r="S436" s="48"/>
    </row>
    <row r="437" spans="2:19">
      <c r="B437" s="47" t="s">
        <v>3886</v>
      </c>
      <c r="C437" s="41" t="s">
        <v>2983</v>
      </c>
      <c r="D437" s="60"/>
      <c r="E437" s="60"/>
      <c r="F437" s="60"/>
      <c r="G437" s="60"/>
      <c r="H437" s="60"/>
      <c r="I437" s="60"/>
      <c r="J437" s="60"/>
      <c r="K437" s="60"/>
      <c r="L437" s="60"/>
      <c r="M437" s="60"/>
      <c r="N437" s="60"/>
      <c r="O437" s="60"/>
      <c r="P437" s="65"/>
      <c r="Q437" s="58"/>
      <c r="R437" s="58"/>
      <c r="S437" s="48"/>
    </row>
    <row r="438" spans="2:19">
      <c r="B438" s="47" t="s">
        <v>3887</v>
      </c>
      <c r="C438" s="41" t="s">
        <v>2985</v>
      </c>
      <c r="D438" s="60"/>
      <c r="E438" s="60"/>
      <c r="F438" s="60"/>
      <c r="G438" s="60"/>
      <c r="H438" s="60"/>
      <c r="I438" s="60"/>
      <c r="J438" s="60"/>
      <c r="K438" s="60"/>
      <c r="L438" s="60"/>
      <c r="M438" s="60"/>
      <c r="N438" s="60"/>
      <c r="O438" s="65"/>
      <c r="P438" s="58"/>
      <c r="Q438" s="58"/>
      <c r="R438" s="58"/>
      <c r="S438" s="48"/>
    </row>
    <row r="439" spans="2:19">
      <c r="B439" s="47" t="s">
        <v>3888</v>
      </c>
      <c r="C439" s="41" t="s">
        <v>2987</v>
      </c>
      <c r="D439" s="60"/>
      <c r="E439" s="60"/>
      <c r="F439" s="60"/>
      <c r="G439" s="60"/>
      <c r="H439" s="60"/>
      <c r="I439" s="60"/>
      <c r="J439" s="60"/>
      <c r="K439" s="60"/>
      <c r="L439" s="60"/>
      <c r="M439" s="60"/>
      <c r="N439" s="65"/>
      <c r="O439" s="58"/>
      <c r="P439" s="58"/>
      <c r="Q439" s="58"/>
      <c r="R439" s="58"/>
      <c r="S439" s="48"/>
    </row>
    <row r="440" spans="2:19">
      <c r="B440" s="47" t="s">
        <v>3889</v>
      </c>
      <c r="C440" s="41" t="s">
        <v>2989</v>
      </c>
      <c r="D440" s="60"/>
      <c r="E440" s="60"/>
      <c r="F440" s="60"/>
      <c r="G440" s="60"/>
      <c r="H440" s="60"/>
      <c r="I440" s="60"/>
      <c r="J440" s="60"/>
      <c r="K440" s="60"/>
      <c r="L440" s="60"/>
      <c r="M440" s="65"/>
      <c r="N440" s="58"/>
      <c r="O440" s="58"/>
      <c r="P440" s="58"/>
      <c r="Q440" s="58"/>
      <c r="R440" s="58"/>
      <c r="S440" s="48"/>
    </row>
    <row r="441" spans="2:19">
      <c r="B441" s="47" t="s">
        <v>3890</v>
      </c>
      <c r="C441" s="41" t="s">
        <v>2991</v>
      </c>
      <c r="D441" s="60"/>
      <c r="E441" s="60"/>
      <c r="F441" s="60"/>
      <c r="G441" s="60"/>
      <c r="H441" s="60"/>
      <c r="I441" s="60"/>
      <c r="J441" s="60"/>
      <c r="K441" s="60"/>
      <c r="L441" s="65"/>
      <c r="M441" s="58"/>
      <c r="N441" s="58"/>
      <c r="O441" s="58"/>
      <c r="P441" s="58"/>
      <c r="Q441" s="58"/>
      <c r="R441" s="58"/>
      <c r="S441" s="48"/>
    </row>
    <row r="442" spans="2:19">
      <c r="B442" s="47" t="s">
        <v>3891</v>
      </c>
      <c r="C442" s="41" t="s">
        <v>2993</v>
      </c>
      <c r="D442" s="60"/>
      <c r="E442" s="60"/>
      <c r="F442" s="60"/>
      <c r="G442" s="60"/>
      <c r="H442" s="60"/>
      <c r="I442" s="60"/>
      <c r="J442" s="60"/>
      <c r="K442" s="65"/>
      <c r="L442" s="58"/>
      <c r="M442" s="58"/>
      <c r="N442" s="58"/>
      <c r="O442" s="58"/>
      <c r="P442" s="58"/>
      <c r="Q442" s="58"/>
      <c r="R442" s="58"/>
      <c r="S442" s="48"/>
    </row>
    <row r="443" spans="2:19">
      <c r="B443" s="47" t="s">
        <v>3892</v>
      </c>
      <c r="C443" s="41" t="s">
        <v>2995</v>
      </c>
      <c r="D443" s="60"/>
      <c r="E443" s="60"/>
      <c r="F443" s="60"/>
      <c r="G443" s="60"/>
      <c r="H443" s="60"/>
      <c r="I443" s="60"/>
      <c r="J443" s="65"/>
      <c r="K443" s="58"/>
      <c r="L443" s="58"/>
      <c r="M443" s="58"/>
      <c r="N443" s="58"/>
      <c r="O443" s="58"/>
      <c r="P443" s="58"/>
      <c r="Q443" s="58"/>
      <c r="R443" s="58"/>
      <c r="S443" s="48"/>
    </row>
    <row r="444" spans="2:19">
      <c r="B444" s="47" t="s">
        <v>3893</v>
      </c>
      <c r="C444" s="41" t="s">
        <v>2997</v>
      </c>
      <c r="D444" s="60"/>
      <c r="E444" s="60"/>
      <c r="F444" s="60"/>
      <c r="G444" s="60"/>
      <c r="H444" s="60"/>
      <c r="I444" s="65"/>
      <c r="J444" s="58"/>
      <c r="K444" s="58"/>
      <c r="L444" s="58"/>
      <c r="M444" s="58"/>
      <c r="N444" s="58"/>
      <c r="O444" s="58"/>
      <c r="P444" s="58"/>
      <c r="Q444" s="58"/>
      <c r="R444" s="58"/>
      <c r="S444" s="48"/>
    </row>
    <row r="445" spans="2:19">
      <c r="B445" s="47" t="s">
        <v>3894</v>
      </c>
      <c r="C445" s="41" t="s">
        <v>2999</v>
      </c>
      <c r="D445" s="60"/>
      <c r="E445" s="60"/>
      <c r="F445" s="60"/>
      <c r="G445" s="60"/>
      <c r="H445" s="65"/>
      <c r="I445" s="58"/>
      <c r="J445" s="58"/>
      <c r="K445" s="58"/>
      <c r="L445" s="58"/>
      <c r="M445" s="58"/>
      <c r="N445" s="58"/>
      <c r="O445" s="58"/>
      <c r="P445" s="58"/>
      <c r="Q445" s="58"/>
      <c r="R445" s="58"/>
      <c r="S445" s="48"/>
    </row>
    <row r="446" spans="2:19">
      <c r="B446" s="47" t="s">
        <v>3895</v>
      </c>
      <c r="C446" s="41" t="s">
        <v>3001</v>
      </c>
      <c r="D446" s="60"/>
      <c r="E446" s="60"/>
      <c r="F446" s="60"/>
      <c r="G446" s="65"/>
      <c r="H446" s="58"/>
      <c r="I446" s="58"/>
      <c r="J446" s="58"/>
      <c r="K446" s="58"/>
      <c r="L446" s="58"/>
      <c r="M446" s="58"/>
      <c r="N446" s="58"/>
      <c r="O446" s="58"/>
      <c r="P446" s="58"/>
      <c r="Q446" s="58"/>
      <c r="R446" s="58"/>
      <c r="S446" s="48"/>
    </row>
    <row r="447" spans="2:19">
      <c r="B447" s="47" t="s">
        <v>3896</v>
      </c>
      <c r="C447" s="41" t="s">
        <v>3003</v>
      </c>
      <c r="D447" s="60"/>
      <c r="E447" s="60"/>
      <c r="F447" s="65"/>
      <c r="G447" s="58"/>
      <c r="H447" s="58"/>
      <c r="I447" s="58"/>
      <c r="J447" s="58"/>
      <c r="K447" s="58"/>
      <c r="L447" s="58"/>
      <c r="M447" s="58"/>
      <c r="N447" s="58"/>
      <c r="O447" s="58"/>
      <c r="P447" s="58"/>
      <c r="Q447" s="58"/>
      <c r="R447" s="58"/>
      <c r="S447" s="48"/>
    </row>
    <row r="448" spans="2:19">
      <c r="B448" s="47" t="s">
        <v>3897</v>
      </c>
      <c r="C448" s="41" t="s">
        <v>3005</v>
      </c>
      <c r="D448" s="60"/>
      <c r="E448" s="65"/>
      <c r="F448" s="58"/>
      <c r="G448" s="58"/>
      <c r="H448" s="58"/>
      <c r="I448" s="58"/>
      <c r="J448" s="58"/>
      <c r="K448" s="58"/>
      <c r="L448" s="58"/>
      <c r="M448" s="58"/>
      <c r="N448" s="58"/>
      <c r="O448" s="58"/>
      <c r="P448" s="58"/>
      <c r="Q448" s="58"/>
      <c r="R448" s="58"/>
      <c r="S448" s="48"/>
    </row>
    <row r="449" spans="2:25">
      <c r="B449" s="47" t="s">
        <v>3898</v>
      </c>
      <c r="C449" s="41" t="s">
        <v>3007</v>
      </c>
      <c r="D449" s="64"/>
      <c r="E449" s="56"/>
      <c r="F449" s="56"/>
      <c r="G449" s="56"/>
      <c r="H449" s="56"/>
      <c r="I449" s="56"/>
      <c r="J449" s="56"/>
      <c r="K449" s="56"/>
      <c r="L449" s="56"/>
      <c r="M449" s="56"/>
      <c r="N449" s="56"/>
      <c r="O449" s="56"/>
      <c r="P449" s="56"/>
      <c r="Q449" s="56"/>
      <c r="R449" s="56"/>
      <c r="S449" s="46"/>
    </row>
    <row r="451" spans="2:25">
      <c r="X451" s="13" t="str">
        <f>Show!$B$87&amp;Show!$B$87&amp;"S.19.01.01.13 Rows {"&amp;COLUMN($C$1)&amp;"}"</f>
        <v>!!S.19.01.01.13 Rows {3}</v>
      </c>
      <c r="Y451" s="13" t="str">
        <f>Show!$B$87&amp;Show!$B$87&amp;"S.19.01.01.13 Columns {"&amp;COLUMN($S$1)&amp;"}"</f>
        <v>!!S.19.01.01.13 Columns {19}</v>
      </c>
    </row>
    <row r="453" spans="2:25" ht="18.75">
      <c r="B453" s="88" t="s">
        <v>4043</v>
      </c>
      <c r="C453" s="87"/>
      <c r="D453" s="87"/>
      <c r="E453" s="87"/>
      <c r="F453" s="87"/>
      <c r="G453" s="87"/>
      <c r="H453" s="87"/>
      <c r="I453" s="87"/>
      <c r="J453" s="87"/>
      <c r="K453" s="87"/>
      <c r="L453" s="87"/>
    </row>
    <row r="455" spans="2:25">
      <c r="B455" t="s">
        <v>3110</v>
      </c>
      <c r="X455" s="13" t="str">
        <f>Show!$B$87&amp;"S.19.01.01.14 Table label {"&amp;COLUMN($C$1)&amp;"}"</f>
        <v>!S.19.01.01.14 Table label {3}</v>
      </c>
      <c r="Y455" s="13" t="str">
        <f>Show!$B$87&amp;"S.19.01.01.14 Table value {"&amp;COLUMN($D$1)&amp;"}"</f>
        <v>!S.19.01.01.14 Table value {4}</v>
      </c>
    </row>
    <row r="456" spans="2:25">
      <c r="B456" t="s">
        <v>3111</v>
      </c>
    </row>
    <row r="457" spans="2:25">
      <c r="B457" s="40" t="s">
        <v>3427</v>
      </c>
      <c r="C457" s="53" t="s">
        <v>3113</v>
      </c>
      <c r="D457" s="51"/>
    </row>
    <row r="458" spans="2:25">
      <c r="B458" s="40" t="s">
        <v>3868</v>
      </c>
      <c r="C458" s="53" t="s">
        <v>3115</v>
      </c>
      <c r="D458" s="51"/>
    </row>
    <row r="459" spans="2:25">
      <c r="B459" s="40" t="s">
        <v>3606</v>
      </c>
      <c r="C459" s="53" t="s">
        <v>3323</v>
      </c>
      <c r="D459" s="51"/>
    </row>
    <row r="460" spans="2:25">
      <c r="B460" s="40" t="s">
        <v>3874</v>
      </c>
      <c r="C460" s="53" t="s">
        <v>3875</v>
      </c>
      <c r="D460" s="51"/>
    </row>
    <row r="461" spans="2:25">
      <c r="X461" s="13" t="str">
        <f>Show!$B$87&amp;Show!$B$87&amp;"S.19.01.01.14 Table label {"&amp;COLUMN($C$1)&amp;"}"</f>
        <v>!!S.19.01.01.14 Table label {3}</v>
      </c>
      <c r="Y461" s="13" t="str">
        <f>Show!$B$87&amp;Show!$B$87&amp;"S.19.01.01.14 Table value {"&amp;COLUMN($D$1)&amp;"}"</f>
        <v>!!S.19.01.01.14 Table value {4}</v>
      </c>
    </row>
    <row r="463" spans="2:25">
      <c r="D463" s="92" t="s">
        <v>2877</v>
      </c>
      <c r="E463" s="94"/>
    </row>
    <row r="464" spans="2:25">
      <c r="D464" s="95"/>
      <c r="E464" s="97"/>
    </row>
    <row r="465" spans="2:25" ht="30">
      <c r="D465" s="55" t="s">
        <v>3949</v>
      </c>
      <c r="E465" s="55" t="s">
        <v>3950</v>
      </c>
    </row>
    <row r="466" spans="2:25">
      <c r="D466" s="45" t="s">
        <v>4044</v>
      </c>
      <c r="E466" s="45" t="s">
        <v>4045</v>
      </c>
      <c r="X466" s="13" t="str">
        <f>Show!$B$87&amp;"S.19.01.01.14 Rows {"&amp;COLUMN($C$1)&amp;"}"&amp;"@ForceFilingCode:true"</f>
        <v>!S.19.01.01.14 Rows {3}@ForceFilingCode:true</v>
      </c>
      <c r="Y466" s="13" t="str">
        <f>Show!$B$87&amp;"S.19.01.01.14 Columns {"&amp;COLUMN($D$1)&amp;"}"</f>
        <v>!S.19.01.01.14 Columns {4}</v>
      </c>
    </row>
    <row r="467" spans="2:25">
      <c r="B467" s="43" t="s">
        <v>2880</v>
      </c>
      <c r="C467" s="44" t="s">
        <v>2878</v>
      </c>
      <c r="D467" s="56"/>
      <c r="E467" s="57"/>
    </row>
    <row r="468" spans="2:25">
      <c r="B468" s="47" t="s">
        <v>3947</v>
      </c>
      <c r="C468" s="41" t="s">
        <v>2977</v>
      </c>
      <c r="D468" s="60"/>
      <c r="E468" s="60"/>
    </row>
    <row r="469" spans="2:25">
      <c r="B469" s="47" t="s">
        <v>3884</v>
      </c>
      <c r="C469" s="41" t="s">
        <v>2979</v>
      </c>
      <c r="D469" s="60"/>
      <c r="E469" s="60"/>
    </row>
    <row r="470" spans="2:25">
      <c r="B470" s="47" t="s">
        <v>3885</v>
      </c>
      <c r="C470" s="41" t="s">
        <v>2981</v>
      </c>
      <c r="D470" s="60"/>
      <c r="E470" s="60"/>
    </row>
    <row r="471" spans="2:25">
      <c r="B471" s="47" t="s">
        <v>3886</v>
      </c>
      <c r="C471" s="41" t="s">
        <v>2983</v>
      </c>
      <c r="D471" s="60"/>
      <c r="E471" s="60"/>
    </row>
    <row r="472" spans="2:25">
      <c r="B472" s="47" t="s">
        <v>3887</v>
      </c>
      <c r="C472" s="41" t="s">
        <v>2985</v>
      </c>
      <c r="D472" s="60"/>
      <c r="E472" s="60"/>
    </row>
    <row r="473" spans="2:25">
      <c r="B473" s="47" t="s">
        <v>3888</v>
      </c>
      <c r="C473" s="41" t="s">
        <v>2987</v>
      </c>
      <c r="D473" s="60"/>
      <c r="E473" s="60"/>
    </row>
    <row r="474" spans="2:25">
      <c r="B474" s="47" t="s">
        <v>3889</v>
      </c>
      <c r="C474" s="41" t="s">
        <v>2989</v>
      </c>
      <c r="D474" s="60"/>
      <c r="E474" s="60"/>
    </row>
    <row r="475" spans="2:25">
      <c r="B475" s="47" t="s">
        <v>3890</v>
      </c>
      <c r="C475" s="41" t="s">
        <v>2991</v>
      </c>
      <c r="D475" s="60"/>
      <c r="E475" s="60"/>
    </row>
    <row r="476" spans="2:25">
      <c r="B476" s="47" t="s">
        <v>3891</v>
      </c>
      <c r="C476" s="41" t="s">
        <v>2993</v>
      </c>
      <c r="D476" s="60"/>
      <c r="E476" s="60"/>
    </row>
    <row r="477" spans="2:25">
      <c r="B477" s="47" t="s">
        <v>3892</v>
      </c>
      <c r="C477" s="41" t="s">
        <v>2995</v>
      </c>
      <c r="D477" s="60"/>
      <c r="E477" s="60"/>
    </row>
    <row r="478" spans="2:25">
      <c r="B478" s="47" t="s">
        <v>3893</v>
      </c>
      <c r="C478" s="41" t="s">
        <v>2997</v>
      </c>
      <c r="D478" s="60"/>
      <c r="E478" s="60"/>
    </row>
    <row r="479" spans="2:25">
      <c r="B479" s="47" t="s">
        <v>3894</v>
      </c>
      <c r="C479" s="41" t="s">
        <v>2999</v>
      </c>
      <c r="D479" s="60"/>
      <c r="E479" s="60"/>
    </row>
    <row r="480" spans="2:25">
      <c r="B480" s="47" t="s">
        <v>3895</v>
      </c>
      <c r="C480" s="41" t="s">
        <v>3001</v>
      </c>
      <c r="D480" s="60"/>
      <c r="E480" s="60"/>
    </row>
    <row r="481" spans="2:25">
      <c r="B481" s="47" t="s">
        <v>3896</v>
      </c>
      <c r="C481" s="41" t="s">
        <v>3003</v>
      </c>
      <c r="D481" s="60"/>
      <c r="E481" s="60"/>
    </row>
    <row r="482" spans="2:25">
      <c r="B482" s="47" t="s">
        <v>3897</v>
      </c>
      <c r="C482" s="41" t="s">
        <v>3005</v>
      </c>
      <c r="D482" s="60"/>
      <c r="E482" s="60"/>
    </row>
    <row r="483" spans="2:25">
      <c r="B483" s="47" t="s">
        <v>3898</v>
      </c>
      <c r="C483" s="41" t="s">
        <v>3007</v>
      </c>
      <c r="D483" s="60"/>
      <c r="E483" s="60"/>
    </row>
    <row r="484" spans="2:25">
      <c r="B484" s="47" t="s">
        <v>3480</v>
      </c>
      <c r="C484" s="41" t="s">
        <v>3009</v>
      </c>
      <c r="D484" s="60"/>
      <c r="E484" s="60"/>
    </row>
    <row r="486" spans="2:25">
      <c r="X486" s="13" t="str">
        <f>Show!$B$87&amp;Show!$B$87&amp;"S.19.01.01.14 Rows {"&amp;COLUMN($C$1)&amp;"}"</f>
        <v>!!S.19.01.01.14 Rows {3}</v>
      </c>
      <c r="Y486" s="13" t="str">
        <f>Show!$B$87&amp;Show!$B$87&amp;"S.19.01.01.14 Columns {"&amp;COLUMN($E$1)&amp;"}"</f>
        <v>!!S.19.01.01.14 Columns {5}</v>
      </c>
    </row>
    <row r="488" spans="2:25" ht="18.75">
      <c r="B488" s="88" t="s">
        <v>4046</v>
      </c>
      <c r="C488" s="87"/>
      <c r="D488" s="87"/>
      <c r="E488" s="87"/>
      <c r="F488" s="87"/>
      <c r="G488" s="87"/>
      <c r="H488" s="87"/>
      <c r="I488" s="87"/>
      <c r="J488" s="87"/>
      <c r="K488" s="87"/>
      <c r="L488" s="87"/>
    </row>
    <row r="490" spans="2:25">
      <c r="B490" t="s">
        <v>3110</v>
      </c>
      <c r="X490" s="13" t="str">
        <f>Show!$B$87&amp;"S.19.01.01.15 Table label {"&amp;COLUMN($C$1)&amp;"}"</f>
        <v>!S.19.01.01.15 Table label {3}</v>
      </c>
      <c r="Y490" s="13" t="str">
        <f>Show!$B$87&amp;"S.19.01.01.15 Table value {"&amp;COLUMN($D$1)&amp;"}"</f>
        <v>!S.19.01.01.15 Table value {4}</v>
      </c>
    </row>
    <row r="491" spans="2:25">
      <c r="B491" t="s">
        <v>3111</v>
      </c>
    </row>
    <row r="492" spans="2:25">
      <c r="B492" s="40" t="s">
        <v>3427</v>
      </c>
      <c r="C492" s="53" t="s">
        <v>3113</v>
      </c>
      <c r="D492" s="51"/>
    </row>
    <row r="493" spans="2:25">
      <c r="B493" s="40" t="s">
        <v>3868</v>
      </c>
      <c r="C493" s="53" t="s">
        <v>3115</v>
      </c>
      <c r="D493" s="51"/>
    </row>
    <row r="494" spans="2:25">
      <c r="B494" s="40" t="s">
        <v>3606</v>
      </c>
      <c r="C494" s="53" t="s">
        <v>3323</v>
      </c>
      <c r="D494" s="51"/>
    </row>
    <row r="495" spans="2:25">
      <c r="B495" s="40" t="s">
        <v>3874</v>
      </c>
      <c r="C495" s="53" t="s">
        <v>3875</v>
      </c>
      <c r="D495" s="51"/>
    </row>
    <row r="496" spans="2:25">
      <c r="X496" s="13" t="str">
        <f>Show!$B$87&amp;Show!$B$87&amp;"S.19.01.01.15 Table label {"&amp;COLUMN($C$1)&amp;"}"</f>
        <v>!!S.19.01.01.15 Table label {3}</v>
      </c>
      <c r="Y496" s="13" t="str">
        <f>Show!$B$87&amp;Show!$B$87&amp;"S.19.01.01.15 Table value {"&amp;COLUMN($D$1)&amp;"}"</f>
        <v>!!S.19.01.01.15 Table value {4}</v>
      </c>
    </row>
    <row r="498" spans="2:25">
      <c r="D498" s="92" t="s">
        <v>2877</v>
      </c>
      <c r="E498" s="93"/>
      <c r="F498" s="93"/>
      <c r="G498" s="93"/>
      <c r="H498" s="93"/>
      <c r="I498" s="93"/>
      <c r="J498" s="93"/>
      <c r="K498" s="93"/>
      <c r="L498" s="93"/>
      <c r="M498" s="93"/>
      <c r="N498" s="93"/>
      <c r="O498" s="93"/>
      <c r="P498" s="93"/>
      <c r="Q498" s="93"/>
      <c r="R498" s="93"/>
      <c r="S498" s="94"/>
    </row>
    <row r="499" spans="2:25">
      <c r="D499" s="95"/>
      <c r="E499" s="96"/>
      <c r="F499" s="96"/>
      <c r="G499" s="96"/>
      <c r="H499" s="96"/>
      <c r="I499" s="96"/>
      <c r="J499" s="96"/>
      <c r="K499" s="96"/>
      <c r="L499" s="96"/>
      <c r="M499" s="96"/>
      <c r="N499" s="96"/>
      <c r="O499" s="96"/>
      <c r="P499" s="96"/>
      <c r="Q499" s="96"/>
      <c r="R499" s="96"/>
      <c r="S499" s="97"/>
    </row>
    <row r="500" spans="2:25">
      <c r="D500" s="55">
        <v>0</v>
      </c>
      <c r="E500" s="55">
        <v>1</v>
      </c>
      <c r="F500" s="55">
        <v>2</v>
      </c>
      <c r="G500" s="55">
        <v>3</v>
      </c>
      <c r="H500" s="55">
        <v>4</v>
      </c>
      <c r="I500" s="55">
        <v>5</v>
      </c>
      <c r="J500" s="55">
        <v>6</v>
      </c>
      <c r="K500" s="55">
        <v>7</v>
      </c>
      <c r="L500" s="55">
        <v>8</v>
      </c>
      <c r="M500" s="55">
        <v>9</v>
      </c>
      <c r="N500" s="55">
        <v>10</v>
      </c>
      <c r="O500" s="55">
        <v>11</v>
      </c>
      <c r="P500" s="55">
        <v>12</v>
      </c>
      <c r="Q500" s="55">
        <v>13</v>
      </c>
      <c r="R500" s="55">
        <v>14</v>
      </c>
      <c r="S500" s="55" t="s">
        <v>3946</v>
      </c>
    </row>
    <row r="501" spans="2:25">
      <c r="D501" s="45" t="s">
        <v>4047</v>
      </c>
      <c r="E501" s="45" t="s">
        <v>4048</v>
      </c>
      <c r="F501" s="45" t="s">
        <v>4049</v>
      </c>
      <c r="G501" s="45" t="s">
        <v>4050</v>
      </c>
      <c r="H501" s="45" t="s">
        <v>4051</v>
      </c>
      <c r="I501" s="45" t="s">
        <v>4052</v>
      </c>
      <c r="J501" s="45" t="s">
        <v>4053</v>
      </c>
      <c r="K501" s="45" t="s">
        <v>4054</v>
      </c>
      <c r="L501" s="45" t="s">
        <v>4055</v>
      </c>
      <c r="M501" s="45" t="s">
        <v>4056</v>
      </c>
      <c r="N501" s="45" t="s">
        <v>4057</v>
      </c>
      <c r="O501" s="45" t="s">
        <v>4058</v>
      </c>
      <c r="P501" s="45" t="s">
        <v>4059</v>
      </c>
      <c r="Q501" s="45" t="s">
        <v>4060</v>
      </c>
      <c r="R501" s="45" t="s">
        <v>4061</v>
      </c>
      <c r="S501" s="45" t="s">
        <v>4062</v>
      </c>
      <c r="X501" s="13" t="str">
        <f>Show!$B$87&amp;"S.19.01.01.15 Rows {"&amp;COLUMN($C$1)&amp;"}"&amp;"@ForceFilingCode:true"</f>
        <v>!S.19.01.01.15 Rows {3}@ForceFilingCode:true</v>
      </c>
      <c r="Y501" s="13" t="str">
        <f>Show!$B$87&amp;"S.19.01.01.15 Columns {"&amp;COLUMN($D$1)&amp;"}"</f>
        <v>!S.19.01.01.15 Columns {4}</v>
      </c>
    </row>
    <row r="502" spans="2:25">
      <c r="B502" s="43" t="s">
        <v>2880</v>
      </c>
      <c r="C502" s="44" t="s">
        <v>2878</v>
      </c>
      <c r="D502" s="58"/>
      <c r="E502" s="67"/>
      <c r="F502" s="67"/>
      <c r="G502" s="67"/>
      <c r="H502" s="67"/>
      <c r="I502" s="67"/>
      <c r="J502" s="67"/>
      <c r="K502" s="67"/>
      <c r="L502" s="67"/>
      <c r="M502" s="67"/>
      <c r="N502" s="67"/>
      <c r="O502" s="67"/>
      <c r="P502" s="67"/>
      <c r="Q502" s="67"/>
      <c r="R502" s="67"/>
      <c r="S502" s="57"/>
    </row>
    <row r="503" spans="2:25">
      <c r="B503" s="47" t="s">
        <v>3947</v>
      </c>
      <c r="C503" s="44" t="s">
        <v>2977</v>
      </c>
      <c r="D503" s="56"/>
      <c r="E503" s="56"/>
      <c r="F503" s="56"/>
      <c r="G503" s="56"/>
      <c r="H503" s="56"/>
      <c r="I503" s="56"/>
      <c r="J503" s="56"/>
      <c r="K503" s="56"/>
      <c r="L503" s="56"/>
      <c r="M503" s="56"/>
      <c r="N503" s="56"/>
      <c r="O503" s="56"/>
      <c r="P503" s="56"/>
      <c r="Q503" s="56"/>
      <c r="R503" s="46"/>
      <c r="S503" s="63"/>
    </row>
    <row r="504" spans="2:25">
      <c r="B504" s="47" t="s">
        <v>3884</v>
      </c>
      <c r="C504" s="41" t="s">
        <v>2979</v>
      </c>
      <c r="D504" s="60"/>
      <c r="E504" s="60"/>
      <c r="F504" s="60"/>
      <c r="G504" s="60"/>
      <c r="H504" s="60"/>
      <c r="I504" s="60"/>
      <c r="J504" s="60"/>
      <c r="K504" s="60"/>
      <c r="L504" s="60"/>
      <c r="M504" s="60"/>
      <c r="N504" s="60"/>
      <c r="O504" s="60"/>
      <c r="P504" s="60"/>
      <c r="Q504" s="60"/>
      <c r="R504" s="65"/>
      <c r="S504" s="48"/>
    </row>
    <row r="505" spans="2:25">
      <c r="B505" s="47" t="s">
        <v>3885</v>
      </c>
      <c r="C505" s="41" t="s">
        <v>2981</v>
      </c>
      <c r="D505" s="60"/>
      <c r="E505" s="60"/>
      <c r="F505" s="60"/>
      <c r="G505" s="60"/>
      <c r="H505" s="60"/>
      <c r="I505" s="60"/>
      <c r="J505" s="60"/>
      <c r="K505" s="60"/>
      <c r="L505" s="60"/>
      <c r="M505" s="60"/>
      <c r="N505" s="60"/>
      <c r="O505" s="60"/>
      <c r="P505" s="60"/>
      <c r="Q505" s="65"/>
      <c r="R505" s="58"/>
      <c r="S505" s="48"/>
    </row>
    <row r="506" spans="2:25">
      <c r="B506" s="47" t="s">
        <v>3886</v>
      </c>
      <c r="C506" s="41" t="s">
        <v>2983</v>
      </c>
      <c r="D506" s="60"/>
      <c r="E506" s="60"/>
      <c r="F506" s="60"/>
      <c r="G506" s="60"/>
      <c r="H506" s="60"/>
      <c r="I506" s="60"/>
      <c r="J506" s="60"/>
      <c r="K506" s="60"/>
      <c r="L506" s="60"/>
      <c r="M506" s="60"/>
      <c r="N506" s="60"/>
      <c r="O506" s="60"/>
      <c r="P506" s="65"/>
      <c r="Q506" s="58"/>
      <c r="R506" s="58"/>
      <c r="S506" s="48"/>
    </row>
    <row r="507" spans="2:25">
      <c r="B507" s="47" t="s">
        <v>3887</v>
      </c>
      <c r="C507" s="41" t="s">
        <v>2985</v>
      </c>
      <c r="D507" s="60"/>
      <c r="E507" s="60"/>
      <c r="F507" s="60"/>
      <c r="G507" s="60"/>
      <c r="H507" s="60"/>
      <c r="I507" s="60"/>
      <c r="J507" s="60"/>
      <c r="K507" s="60"/>
      <c r="L507" s="60"/>
      <c r="M507" s="60"/>
      <c r="N507" s="60"/>
      <c r="O507" s="65"/>
      <c r="P507" s="58"/>
      <c r="Q507" s="58"/>
      <c r="R507" s="58"/>
      <c r="S507" s="48"/>
    </row>
    <row r="508" spans="2:25">
      <c r="B508" s="47" t="s">
        <v>3888</v>
      </c>
      <c r="C508" s="41" t="s">
        <v>2987</v>
      </c>
      <c r="D508" s="60"/>
      <c r="E508" s="60"/>
      <c r="F508" s="60"/>
      <c r="G508" s="60"/>
      <c r="H508" s="60"/>
      <c r="I508" s="60"/>
      <c r="J508" s="60"/>
      <c r="K508" s="60"/>
      <c r="L508" s="60"/>
      <c r="M508" s="60"/>
      <c r="N508" s="65"/>
      <c r="O508" s="58"/>
      <c r="P508" s="58"/>
      <c r="Q508" s="58"/>
      <c r="R508" s="58"/>
      <c r="S508" s="48"/>
    </row>
    <row r="509" spans="2:25">
      <c r="B509" s="47" t="s">
        <v>3889</v>
      </c>
      <c r="C509" s="41" t="s">
        <v>2989</v>
      </c>
      <c r="D509" s="60"/>
      <c r="E509" s="60"/>
      <c r="F509" s="60"/>
      <c r="G509" s="60"/>
      <c r="H509" s="60"/>
      <c r="I509" s="60"/>
      <c r="J509" s="60"/>
      <c r="K509" s="60"/>
      <c r="L509" s="60"/>
      <c r="M509" s="65"/>
      <c r="N509" s="58"/>
      <c r="O509" s="58"/>
      <c r="P509" s="58"/>
      <c r="Q509" s="58"/>
      <c r="R509" s="58"/>
      <c r="S509" s="48"/>
    </row>
    <row r="510" spans="2:25">
      <c r="B510" s="47" t="s">
        <v>3890</v>
      </c>
      <c r="C510" s="41" t="s">
        <v>2991</v>
      </c>
      <c r="D510" s="60"/>
      <c r="E510" s="60"/>
      <c r="F510" s="60"/>
      <c r="G510" s="60"/>
      <c r="H510" s="60"/>
      <c r="I510" s="60"/>
      <c r="J510" s="60"/>
      <c r="K510" s="60"/>
      <c r="L510" s="65"/>
      <c r="M510" s="58"/>
      <c r="N510" s="58"/>
      <c r="O510" s="58"/>
      <c r="P510" s="58"/>
      <c r="Q510" s="58"/>
      <c r="R510" s="58"/>
      <c r="S510" s="48"/>
    </row>
    <row r="511" spans="2:25">
      <c r="B511" s="47" t="s">
        <v>3891</v>
      </c>
      <c r="C511" s="41" t="s">
        <v>2993</v>
      </c>
      <c r="D511" s="60"/>
      <c r="E511" s="60"/>
      <c r="F511" s="60"/>
      <c r="G511" s="60"/>
      <c r="H511" s="60"/>
      <c r="I511" s="60"/>
      <c r="J511" s="60"/>
      <c r="K511" s="65"/>
      <c r="L511" s="58"/>
      <c r="M511" s="58"/>
      <c r="N511" s="58"/>
      <c r="O511" s="58"/>
      <c r="P511" s="58"/>
      <c r="Q511" s="58"/>
      <c r="R511" s="58"/>
      <c r="S511" s="48"/>
    </row>
    <row r="512" spans="2:25">
      <c r="B512" s="47" t="s">
        <v>3892</v>
      </c>
      <c r="C512" s="41" t="s">
        <v>2995</v>
      </c>
      <c r="D512" s="60"/>
      <c r="E512" s="60"/>
      <c r="F512" s="60"/>
      <c r="G512" s="60"/>
      <c r="H512" s="60"/>
      <c r="I512" s="60"/>
      <c r="J512" s="65"/>
      <c r="K512" s="58"/>
      <c r="L512" s="58"/>
      <c r="M512" s="58"/>
      <c r="N512" s="58"/>
      <c r="O512" s="58"/>
      <c r="P512" s="58"/>
      <c r="Q512" s="58"/>
      <c r="R512" s="58"/>
      <c r="S512" s="48"/>
    </row>
    <row r="513" spans="2:25">
      <c r="B513" s="47" t="s">
        <v>3893</v>
      </c>
      <c r="C513" s="41" t="s">
        <v>2997</v>
      </c>
      <c r="D513" s="60"/>
      <c r="E513" s="60"/>
      <c r="F513" s="60"/>
      <c r="G513" s="60"/>
      <c r="H513" s="60"/>
      <c r="I513" s="65"/>
      <c r="J513" s="58"/>
      <c r="K513" s="58"/>
      <c r="L513" s="58"/>
      <c r="M513" s="58"/>
      <c r="N513" s="58"/>
      <c r="O513" s="58"/>
      <c r="P513" s="58"/>
      <c r="Q513" s="58"/>
      <c r="R513" s="58"/>
      <c r="S513" s="48"/>
    </row>
    <row r="514" spans="2:25">
      <c r="B514" s="47" t="s">
        <v>3894</v>
      </c>
      <c r="C514" s="41" t="s">
        <v>2999</v>
      </c>
      <c r="D514" s="60"/>
      <c r="E514" s="60"/>
      <c r="F514" s="60"/>
      <c r="G514" s="60"/>
      <c r="H514" s="65"/>
      <c r="I514" s="58"/>
      <c r="J514" s="58"/>
      <c r="K514" s="58"/>
      <c r="L514" s="58"/>
      <c r="M514" s="58"/>
      <c r="N514" s="58"/>
      <c r="O514" s="58"/>
      <c r="P514" s="58"/>
      <c r="Q514" s="58"/>
      <c r="R514" s="58"/>
      <c r="S514" s="48"/>
    </row>
    <row r="515" spans="2:25">
      <c r="B515" s="47" t="s">
        <v>3895</v>
      </c>
      <c r="C515" s="41" t="s">
        <v>3001</v>
      </c>
      <c r="D515" s="60"/>
      <c r="E515" s="60"/>
      <c r="F515" s="60"/>
      <c r="G515" s="65"/>
      <c r="H515" s="58"/>
      <c r="I515" s="58"/>
      <c r="J515" s="58"/>
      <c r="K515" s="58"/>
      <c r="L515" s="58"/>
      <c r="M515" s="58"/>
      <c r="N515" s="58"/>
      <c r="O515" s="58"/>
      <c r="P515" s="58"/>
      <c r="Q515" s="58"/>
      <c r="R515" s="58"/>
      <c r="S515" s="48"/>
    </row>
    <row r="516" spans="2:25">
      <c r="B516" s="47" t="s">
        <v>3896</v>
      </c>
      <c r="C516" s="41" t="s">
        <v>3003</v>
      </c>
      <c r="D516" s="60"/>
      <c r="E516" s="60"/>
      <c r="F516" s="65"/>
      <c r="G516" s="58"/>
      <c r="H516" s="58"/>
      <c r="I516" s="58"/>
      <c r="J516" s="58"/>
      <c r="K516" s="58"/>
      <c r="L516" s="58"/>
      <c r="M516" s="58"/>
      <c r="N516" s="58"/>
      <c r="O516" s="58"/>
      <c r="P516" s="58"/>
      <c r="Q516" s="58"/>
      <c r="R516" s="58"/>
      <c r="S516" s="48"/>
    </row>
    <row r="517" spans="2:25">
      <c r="B517" s="47" t="s">
        <v>3897</v>
      </c>
      <c r="C517" s="41" t="s">
        <v>3005</v>
      </c>
      <c r="D517" s="60"/>
      <c r="E517" s="65"/>
      <c r="F517" s="58"/>
      <c r="G517" s="58"/>
      <c r="H517" s="58"/>
      <c r="I517" s="58"/>
      <c r="J517" s="58"/>
      <c r="K517" s="58"/>
      <c r="L517" s="58"/>
      <c r="M517" s="58"/>
      <c r="N517" s="58"/>
      <c r="O517" s="58"/>
      <c r="P517" s="58"/>
      <c r="Q517" s="58"/>
      <c r="R517" s="58"/>
      <c r="S517" s="48"/>
    </row>
    <row r="518" spans="2:25">
      <c r="B518" s="47" t="s">
        <v>3898</v>
      </c>
      <c r="C518" s="41" t="s">
        <v>3007</v>
      </c>
      <c r="D518" s="64"/>
      <c r="E518" s="56"/>
      <c r="F518" s="56"/>
      <c r="G518" s="56"/>
      <c r="H518" s="56"/>
      <c r="I518" s="56"/>
      <c r="J518" s="56"/>
      <c r="K518" s="56"/>
      <c r="L518" s="56"/>
      <c r="M518" s="56"/>
      <c r="N518" s="56"/>
      <c r="O518" s="56"/>
      <c r="P518" s="56"/>
      <c r="Q518" s="56"/>
      <c r="R518" s="56"/>
      <c r="S518" s="46"/>
    </row>
    <row r="520" spans="2:25">
      <c r="X520" s="13" t="str">
        <f>Show!$B$87&amp;Show!$B$87&amp;"S.19.01.01.15 Rows {"&amp;COLUMN($C$1)&amp;"}"</f>
        <v>!!S.19.01.01.15 Rows {3}</v>
      </c>
      <c r="Y520" s="13" t="str">
        <f>Show!$B$87&amp;Show!$B$87&amp;"S.19.01.01.15 Columns {"&amp;COLUMN($S$1)&amp;"}"</f>
        <v>!!S.19.01.01.15 Columns {19}</v>
      </c>
    </row>
    <row r="522" spans="2:25" ht="18.75">
      <c r="B522" s="88" t="s">
        <v>4063</v>
      </c>
      <c r="C522" s="87"/>
      <c r="D522" s="87"/>
      <c r="E522" s="87"/>
      <c r="F522" s="87"/>
      <c r="G522" s="87"/>
      <c r="H522" s="87"/>
      <c r="I522" s="87"/>
      <c r="J522" s="87"/>
      <c r="K522" s="87"/>
      <c r="L522" s="87"/>
    </row>
    <row r="524" spans="2:25">
      <c r="B524" t="s">
        <v>3110</v>
      </c>
      <c r="X524" s="13" t="str">
        <f>Show!$B$87&amp;"S.19.01.01.16 Table label {"&amp;COLUMN($C$1)&amp;"}"</f>
        <v>!S.19.01.01.16 Table label {3}</v>
      </c>
      <c r="Y524" s="13" t="str">
        <f>Show!$B$87&amp;"S.19.01.01.16 Table value {"&amp;COLUMN($D$1)&amp;"}"</f>
        <v>!S.19.01.01.16 Table value {4}</v>
      </c>
    </row>
    <row r="525" spans="2:25">
      <c r="B525" t="s">
        <v>3111</v>
      </c>
    </row>
    <row r="526" spans="2:25">
      <c r="B526" s="40" t="s">
        <v>3427</v>
      </c>
      <c r="C526" s="53" t="s">
        <v>3113</v>
      </c>
      <c r="D526" s="51"/>
    </row>
    <row r="527" spans="2:25">
      <c r="B527" s="40" t="s">
        <v>3868</v>
      </c>
      <c r="C527" s="53" t="s">
        <v>3115</v>
      </c>
      <c r="D527" s="51"/>
    </row>
    <row r="528" spans="2:25">
      <c r="B528" s="40" t="s">
        <v>3606</v>
      </c>
      <c r="C528" s="53" t="s">
        <v>3323</v>
      </c>
      <c r="D528" s="51"/>
    </row>
    <row r="529" spans="2:25">
      <c r="B529" s="40" t="s">
        <v>3874</v>
      </c>
      <c r="C529" s="53" t="s">
        <v>3875</v>
      </c>
      <c r="D529" s="51"/>
    </row>
    <row r="530" spans="2:25">
      <c r="X530" s="13" t="str">
        <f>Show!$B$87&amp;Show!$B$87&amp;"S.19.01.01.16 Table label {"&amp;COLUMN($C$1)&amp;"}"</f>
        <v>!!S.19.01.01.16 Table label {3}</v>
      </c>
      <c r="Y530" s="13" t="str">
        <f>Show!$B$87&amp;Show!$B$87&amp;"S.19.01.01.16 Table value {"&amp;COLUMN($D$1)&amp;"}"</f>
        <v>!!S.19.01.01.16 Table value {4}</v>
      </c>
    </row>
    <row r="532" spans="2:25">
      <c r="D532" s="89" t="s">
        <v>2877</v>
      </c>
    </row>
    <row r="533" spans="2:25">
      <c r="D533" s="91"/>
    </row>
    <row r="534" spans="2:25">
      <c r="D534" s="55" t="s">
        <v>3953</v>
      </c>
    </row>
    <row r="535" spans="2:25">
      <c r="D535" s="45" t="s">
        <v>4064</v>
      </c>
      <c r="X535" s="13" t="str">
        <f>Show!$B$87&amp;"S.19.01.01.16 Rows {"&amp;COLUMN($C$1)&amp;"}"&amp;"@ForceFilingCode:true"</f>
        <v>!S.19.01.01.16 Rows {3}@ForceFilingCode:true</v>
      </c>
      <c r="Y535" s="13" t="str">
        <f>Show!$B$87&amp;"S.19.01.01.16 Columns {"&amp;COLUMN($D$1)&amp;"}"</f>
        <v>!S.19.01.01.16 Columns {4}</v>
      </c>
    </row>
    <row r="536" spans="2:25">
      <c r="B536" s="43" t="s">
        <v>2880</v>
      </c>
      <c r="C536" s="44" t="s">
        <v>2878</v>
      </c>
      <c r="D536" s="46"/>
    </row>
    <row r="537" spans="2:25">
      <c r="B537" s="47" t="s">
        <v>3947</v>
      </c>
      <c r="C537" s="41" t="s">
        <v>2977</v>
      </c>
      <c r="D537" s="60"/>
    </row>
    <row r="538" spans="2:25">
      <c r="B538" s="47" t="s">
        <v>3884</v>
      </c>
      <c r="C538" s="41" t="s">
        <v>2979</v>
      </c>
      <c r="D538" s="60"/>
    </row>
    <row r="539" spans="2:25">
      <c r="B539" s="47" t="s">
        <v>3885</v>
      </c>
      <c r="C539" s="41" t="s">
        <v>2981</v>
      </c>
      <c r="D539" s="60"/>
    </row>
    <row r="540" spans="2:25">
      <c r="B540" s="47" t="s">
        <v>3886</v>
      </c>
      <c r="C540" s="41" t="s">
        <v>2983</v>
      </c>
      <c r="D540" s="60"/>
    </row>
    <row r="541" spans="2:25">
      <c r="B541" s="47" t="s">
        <v>3887</v>
      </c>
      <c r="C541" s="41" t="s">
        <v>2985</v>
      </c>
      <c r="D541" s="60"/>
    </row>
    <row r="542" spans="2:25">
      <c r="B542" s="47" t="s">
        <v>3888</v>
      </c>
      <c r="C542" s="41" t="s">
        <v>2987</v>
      </c>
      <c r="D542" s="60"/>
    </row>
    <row r="543" spans="2:25">
      <c r="B543" s="47" t="s">
        <v>3889</v>
      </c>
      <c r="C543" s="41" t="s">
        <v>2989</v>
      </c>
      <c r="D543" s="60"/>
    </row>
    <row r="544" spans="2:25">
      <c r="B544" s="47" t="s">
        <v>3890</v>
      </c>
      <c r="C544" s="41" t="s">
        <v>2991</v>
      </c>
      <c r="D544" s="60"/>
    </row>
    <row r="545" spans="2:25">
      <c r="B545" s="47" t="s">
        <v>3891</v>
      </c>
      <c r="C545" s="41" t="s">
        <v>2993</v>
      </c>
      <c r="D545" s="60"/>
    </row>
    <row r="546" spans="2:25">
      <c r="B546" s="47" t="s">
        <v>3892</v>
      </c>
      <c r="C546" s="41" t="s">
        <v>2995</v>
      </c>
      <c r="D546" s="60"/>
    </row>
    <row r="547" spans="2:25">
      <c r="B547" s="47" t="s">
        <v>3893</v>
      </c>
      <c r="C547" s="41" t="s">
        <v>2997</v>
      </c>
      <c r="D547" s="60"/>
    </row>
    <row r="548" spans="2:25">
      <c r="B548" s="47" t="s">
        <v>3894</v>
      </c>
      <c r="C548" s="41" t="s">
        <v>2999</v>
      </c>
      <c r="D548" s="60"/>
    </row>
    <row r="549" spans="2:25">
      <c r="B549" s="47" t="s">
        <v>3895</v>
      </c>
      <c r="C549" s="41" t="s">
        <v>3001</v>
      </c>
      <c r="D549" s="60"/>
    </row>
    <row r="550" spans="2:25">
      <c r="B550" s="47" t="s">
        <v>3896</v>
      </c>
      <c r="C550" s="41" t="s">
        <v>3003</v>
      </c>
      <c r="D550" s="60"/>
    </row>
    <row r="551" spans="2:25">
      <c r="B551" s="47" t="s">
        <v>3897</v>
      </c>
      <c r="C551" s="41" t="s">
        <v>3005</v>
      </c>
      <c r="D551" s="60"/>
    </row>
    <row r="552" spans="2:25">
      <c r="B552" s="47" t="s">
        <v>3898</v>
      </c>
      <c r="C552" s="41" t="s">
        <v>3007</v>
      </c>
      <c r="D552" s="60"/>
    </row>
    <row r="553" spans="2:25">
      <c r="B553" s="47" t="s">
        <v>3480</v>
      </c>
      <c r="C553" s="41" t="s">
        <v>3009</v>
      </c>
      <c r="D553" s="60"/>
    </row>
    <row r="555" spans="2:25">
      <c r="X555" s="13" t="str">
        <f>Show!$B$87&amp;Show!$B$87&amp;"S.19.01.01.16 Rows {"&amp;COLUMN($C$1)&amp;"}"</f>
        <v>!!S.19.01.01.16 Rows {3}</v>
      </c>
      <c r="Y555" s="13" t="str">
        <f>Show!$B$87&amp;Show!$B$87&amp;"S.19.01.01.16 Columns {"&amp;COLUMN($D$1)&amp;"}"</f>
        <v>!!S.19.01.01.16 Columns {4}</v>
      </c>
    </row>
    <row r="557" spans="2:25" ht="18.75">
      <c r="B557" s="88" t="s">
        <v>4065</v>
      </c>
      <c r="C557" s="87"/>
      <c r="D557" s="87"/>
      <c r="E557" s="87"/>
      <c r="F557" s="87"/>
      <c r="G557" s="87"/>
      <c r="H557" s="87"/>
      <c r="I557" s="87"/>
      <c r="J557" s="87"/>
      <c r="K557" s="87"/>
      <c r="L557" s="87"/>
    </row>
    <row r="559" spans="2:25">
      <c r="B559" t="s">
        <v>3110</v>
      </c>
      <c r="X559" s="13" t="str">
        <f>Show!$B$87&amp;"S.19.01.01.17 Table label {"&amp;COLUMN($C$1)&amp;"}"</f>
        <v>!S.19.01.01.17 Table label {3}</v>
      </c>
      <c r="Y559" s="13" t="str">
        <f>Show!$B$87&amp;"S.19.01.01.17 Table value {"&amp;COLUMN($D$1)&amp;"}"</f>
        <v>!S.19.01.01.17 Table value {4}</v>
      </c>
    </row>
    <row r="560" spans="2:25">
      <c r="B560" t="s">
        <v>3111</v>
      </c>
    </row>
    <row r="561" spans="2:25">
      <c r="B561" s="40" t="s">
        <v>3427</v>
      </c>
      <c r="C561" s="53" t="s">
        <v>3113</v>
      </c>
      <c r="D561" s="51"/>
    </row>
    <row r="562" spans="2:25">
      <c r="B562" s="40" t="s">
        <v>3868</v>
      </c>
      <c r="C562" s="53" t="s">
        <v>3115</v>
      </c>
      <c r="D562" s="51"/>
    </row>
    <row r="563" spans="2:25">
      <c r="B563" s="40" t="s">
        <v>3606</v>
      </c>
      <c r="C563" s="53" t="s">
        <v>3323</v>
      </c>
      <c r="D563" s="51"/>
    </row>
    <row r="564" spans="2:25">
      <c r="B564" s="40" t="s">
        <v>3874</v>
      </c>
      <c r="C564" s="53" t="s">
        <v>3875</v>
      </c>
      <c r="D564" s="51"/>
    </row>
    <row r="565" spans="2:25">
      <c r="X565" s="13" t="str">
        <f>Show!$B$87&amp;Show!$B$87&amp;"S.19.01.01.17 Table label {"&amp;COLUMN($C$1)&amp;"}"</f>
        <v>!!S.19.01.01.17 Table label {3}</v>
      </c>
      <c r="Y565" s="13" t="str">
        <f>Show!$B$87&amp;Show!$B$87&amp;"S.19.01.01.17 Table value {"&amp;COLUMN($D$1)&amp;"}"</f>
        <v>!!S.19.01.01.17 Table value {4}</v>
      </c>
    </row>
    <row r="567" spans="2:25">
      <c r="D567" s="92" t="s">
        <v>2877</v>
      </c>
      <c r="E567" s="93"/>
      <c r="F567" s="93"/>
      <c r="G567" s="93"/>
      <c r="H567" s="93"/>
      <c r="I567" s="93"/>
      <c r="J567" s="93"/>
      <c r="K567" s="93"/>
      <c r="L567" s="93"/>
      <c r="M567" s="93"/>
      <c r="N567" s="93"/>
      <c r="O567" s="93"/>
      <c r="P567" s="93"/>
      <c r="Q567" s="93"/>
      <c r="R567" s="93"/>
      <c r="S567" s="94"/>
    </row>
    <row r="568" spans="2:25">
      <c r="D568" s="95"/>
      <c r="E568" s="96"/>
      <c r="F568" s="96"/>
      <c r="G568" s="96"/>
      <c r="H568" s="96"/>
      <c r="I568" s="96"/>
      <c r="J568" s="96"/>
      <c r="K568" s="96"/>
      <c r="L568" s="96"/>
      <c r="M568" s="96"/>
      <c r="N568" s="96"/>
      <c r="O568" s="96"/>
      <c r="P568" s="96"/>
      <c r="Q568" s="96"/>
      <c r="R568" s="96"/>
      <c r="S568" s="97"/>
    </row>
    <row r="569" spans="2:25">
      <c r="D569" s="55">
        <v>0</v>
      </c>
      <c r="E569" s="55">
        <v>1</v>
      </c>
      <c r="F569" s="55">
        <v>2</v>
      </c>
      <c r="G569" s="55">
        <v>3</v>
      </c>
      <c r="H569" s="55">
        <v>4</v>
      </c>
      <c r="I569" s="55">
        <v>5</v>
      </c>
      <c r="J569" s="55">
        <v>6</v>
      </c>
      <c r="K569" s="55">
        <v>7</v>
      </c>
      <c r="L569" s="55">
        <v>8</v>
      </c>
      <c r="M569" s="55">
        <v>9</v>
      </c>
      <c r="N569" s="55">
        <v>10</v>
      </c>
      <c r="O569" s="55">
        <v>11</v>
      </c>
      <c r="P569" s="55">
        <v>12</v>
      </c>
      <c r="Q569" s="55">
        <v>13</v>
      </c>
      <c r="R569" s="55">
        <v>14</v>
      </c>
      <c r="S569" s="55" t="s">
        <v>3946</v>
      </c>
    </row>
    <row r="570" spans="2:25">
      <c r="D570" s="45" t="s">
        <v>4066</v>
      </c>
      <c r="E570" s="45" t="s">
        <v>4067</v>
      </c>
      <c r="F570" s="45" t="s">
        <v>4068</v>
      </c>
      <c r="G570" s="45" t="s">
        <v>4069</v>
      </c>
      <c r="H570" s="45" t="s">
        <v>4070</v>
      </c>
      <c r="I570" s="45" t="s">
        <v>4071</v>
      </c>
      <c r="J570" s="45" t="s">
        <v>4072</v>
      </c>
      <c r="K570" s="45" t="s">
        <v>4073</v>
      </c>
      <c r="L570" s="45" t="s">
        <v>4074</v>
      </c>
      <c r="M570" s="45" t="s">
        <v>4075</v>
      </c>
      <c r="N570" s="45" t="s">
        <v>4076</v>
      </c>
      <c r="O570" s="45" t="s">
        <v>4077</v>
      </c>
      <c r="P570" s="45" t="s">
        <v>4078</v>
      </c>
      <c r="Q570" s="45" t="s">
        <v>4079</v>
      </c>
      <c r="R570" s="45" t="s">
        <v>4080</v>
      </c>
      <c r="S570" s="45" t="s">
        <v>4081</v>
      </c>
      <c r="X570" s="13" t="str">
        <f>Show!$B$87&amp;"S.19.01.01.17 Rows {"&amp;COLUMN($C$1)&amp;"}"&amp;"@ForceFilingCode:true"</f>
        <v>!S.19.01.01.17 Rows {3}@ForceFilingCode:true</v>
      </c>
      <c r="Y570" s="13" t="str">
        <f>Show!$B$87&amp;"S.19.01.01.17 Columns {"&amp;COLUMN($D$1)&amp;"}"</f>
        <v>!S.19.01.01.17 Columns {4}</v>
      </c>
    </row>
    <row r="571" spans="2:25">
      <c r="B571" s="43" t="s">
        <v>2880</v>
      </c>
      <c r="C571" s="44" t="s">
        <v>2878</v>
      </c>
      <c r="D571" s="58"/>
      <c r="E571" s="67"/>
      <c r="F571" s="67"/>
      <c r="G571" s="67"/>
      <c r="H571" s="67"/>
      <c r="I571" s="67"/>
      <c r="J571" s="67"/>
      <c r="K571" s="67"/>
      <c r="L571" s="67"/>
      <c r="M571" s="67"/>
      <c r="N571" s="67"/>
      <c r="O571" s="67"/>
      <c r="P571" s="67"/>
      <c r="Q571" s="67"/>
      <c r="R571" s="67"/>
      <c r="S571" s="57"/>
    </row>
    <row r="572" spans="2:25">
      <c r="B572" s="47" t="s">
        <v>3947</v>
      </c>
      <c r="C572" s="44" t="s">
        <v>2977</v>
      </c>
      <c r="D572" s="56"/>
      <c r="E572" s="56"/>
      <c r="F572" s="56"/>
      <c r="G572" s="56"/>
      <c r="H572" s="56"/>
      <c r="I572" s="56"/>
      <c r="J572" s="56"/>
      <c r="K572" s="56"/>
      <c r="L572" s="56"/>
      <c r="M572" s="56"/>
      <c r="N572" s="56"/>
      <c r="O572" s="56"/>
      <c r="P572" s="56"/>
      <c r="Q572" s="56"/>
      <c r="R572" s="46"/>
      <c r="S572" s="63"/>
    </row>
    <row r="573" spans="2:25">
      <c r="B573" s="47" t="s">
        <v>3884</v>
      </c>
      <c r="C573" s="41" t="s">
        <v>2979</v>
      </c>
      <c r="D573" s="60"/>
      <c r="E573" s="60"/>
      <c r="F573" s="60"/>
      <c r="G573" s="60"/>
      <c r="H573" s="60"/>
      <c r="I573" s="60"/>
      <c r="J573" s="60"/>
      <c r="K573" s="60"/>
      <c r="L573" s="60"/>
      <c r="M573" s="60"/>
      <c r="N573" s="60"/>
      <c r="O573" s="60"/>
      <c r="P573" s="60"/>
      <c r="Q573" s="60"/>
      <c r="R573" s="65"/>
      <c r="S573" s="48"/>
    </row>
    <row r="574" spans="2:25">
      <c r="B574" s="47" t="s">
        <v>3885</v>
      </c>
      <c r="C574" s="41" t="s">
        <v>2981</v>
      </c>
      <c r="D574" s="60"/>
      <c r="E574" s="60"/>
      <c r="F574" s="60"/>
      <c r="G574" s="60"/>
      <c r="H574" s="60"/>
      <c r="I574" s="60"/>
      <c r="J574" s="60"/>
      <c r="K574" s="60"/>
      <c r="L574" s="60"/>
      <c r="M574" s="60"/>
      <c r="N574" s="60"/>
      <c r="O574" s="60"/>
      <c r="P574" s="60"/>
      <c r="Q574" s="65"/>
      <c r="R574" s="58"/>
      <c r="S574" s="48"/>
    </row>
    <row r="575" spans="2:25">
      <c r="B575" s="47" t="s">
        <v>3886</v>
      </c>
      <c r="C575" s="41" t="s">
        <v>2983</v>
      </c>
      <c r="D575" s="60"/>
      <c r="E575" s="60"/>
      <c r="F575" s="60"/>
      <c r="G575" s="60"/>
      <c r="H575" s="60"/>
      <c r="I575" s="60"/>
      <c r="J575" s="60"/>
      <c r="K575" s="60"/>
      <c r="L575" s="60"/>
      <c r="M575" s="60"/>
      <c r="N575" s="60"/>
      <c r="O575" s="60"/>
      <c r="P575" s="65"/>
      <c r="Q575" s="58"/>
      <c r="R575" s="58"/>
      <c r="S575" s="48"/>
    </row>
    <row r="576" spans="2:25">
      <c r="B576" s="47" t="s">
        <v>3887</v>
      </c>
      <c r="C576" s="41" t="s">
        <v>2985</v>
      </c>
      <c r="D576" s="60"/>
      <c r="E576" s="60"/>
      <c r="F576" s="60"/>
      <c r="G576" s="60"/>
      <c r="H576" s="60"/>
      <c r="I576" s="60"/>
      <c r="J576" s="60"/>
      <c r="K576" s="60"/>
      <c r="L576" s="60"/>
      <c r="M576" s="60"/>
      <c r="N576" s="60"/>
      <c r="O576" s="65"/>
      <c r="P576" s="58"/>
      <c r="Q576" s="58"/>
      <c r="R576" s="58"/>
      <c r="S576" s="48"/>
    </row>
    <row r="577" spans="2:25">
      <c r="B577" s="47" t="s">
        <v>3888</v>
      </c>
      <c r="C577" s="41" t="s">
        <v>2987</v>
      </c>
      <c r="D577" s="60"/>
      <c r="E577" s="60"/>
      <c r="F577" s="60"/>
      <c r="G577" s="60"/>
      <c r="H577" s="60"/>
      <c r="I577" s="60"/>
      <c r="J577" s="60"/>
      <c r="K577" s="60"/>
      <c r="L577" s="60"/>
      <c r="M577" s="60"/>
      <c r="N577" s="65"/>
      <c r="O577" s="58"/>
      <c r="P577" s="58"/>
      <c r="Q577" s="58"/>
      <c r="R577" s="58"/>
      <c r="S577" s="48"/>
    </row>
    <row r="578" spans="2:25">
      <c r="B578" s="47" t="s">
        <v>3889</v>
      </c>
      <c r="C578" s="41" t="s">
        <v>2989</v>
      </c>
      <c r="D578" s="60"/>
      <c r="E578" s="60"/>
      <c r="F578" s="60"/>
      <c r="G578" s="60"/>
      <c r="H578" s="60"/>
      <c r="I578" s="60"/>
      <c r="J578" s="60"/>
      <c r="K578" s="60"/>
      <c r="L578" s="60"/>
      <c r="M578" s="65"/>
      <c r="N578" s="58"/>
      <c r="O578" s="58"/>
      <c r="P578" s="58"/>
      <c r="Q578" s="58"/>
      <c r="R578" s="58"/>
      <c r="S578" s="48"/>
    </row>
    <row r="579" spans="2:25">
      <c r="B579" s="47" t="s">
        <v>3890</v>
      </c>
      <c r="C579" s="41" t="s">
        <v>2991</v>
      </c>
      <c r="D579" s="60"/>
      <c r="E579" s="60"/>
      <c r="F579" s="60"/>
      <c r="G579" s="60"/>
      <c r="H579" s="60"/>
      <c r="I579" s="60"/>
      <c r="J579" s="60"/>
      <c r="K579" s="60"/>
      <c r="L579" s="65"/>
      <c r="M579" s="58"/>
      <c r="N579" s="58"/>
      <c r="O579" s="58"/>
      <c r="P579" s="58"/>
      <c r="Q579" s="58"/>
      <c r="R579" s="58"/>
      <c r="S579" s="48"/>
    </row>
    <row r="580" spans="2:25">
      <c r="B580" s="47" t="s">
        <v>3891</v>
      </c>
      <c r="C580" s="41" t="s">
        <v>2993</v>
      </c>
      <c r="D580" s="60"/>
      <c r="E580" s="60"/>
      <c r="F580" s="60"/>
      <c r="G580" s="60"/>
      <c r="H580" s="60"/>
      <c r="I580" s="60"/>
      <c r="J580" s="60"/>
      <c r="K580" s="65"/>
      <c r="L580" s="58"/>
      <c r="M580" s="58"/>
      <c r="N580" s="58"/>
      <c r="O580" s="58"/>
      <c r="P580" s="58"/>
      <c r="Q580" s="58"/>
      <c r="R580" s="58"/>
      <c r="S580" s="48"/>
    </row>
    <row r="581" spans="2:25">
      <c r="B581" s="47" t="s">
        <v>3892</v>
      </c>
      <c r="C581" s="41" t="s">
        <v>2995</v>
      </c>
      <c r="D581" s="60"/>
      <c r="E581" s="60"/>
      <c r="F581" s="60"/>
      <c r="G581" s="60"/>
      <c r="H581" s="60"/>
      <c r="I581" s="60"/>
      <c r="J581" s="65"/>
      <c r="K581" s="58"/>
      <c r="L581" s="58"/>
      <c r="M581" s="58"/>
      <c r="N581" s="58"/>
      <c r="O581" s="58"/>
      <c r="P581" s="58"/>
      <c r="Q581" s="58"/>
      <c r="R581" s="58"/>
      <c r="S581" s="48"/>
    </row>
    <row r="582" spans="2:25">
      <c r="B582" s="47" t="s">
        <v>3893</v>
      </c>
      <c r="C582" s="41" t="s">
        <v>2997</v>
      </c>
      <c r="D582" s="60"/>
      <c r="E582" s="60"/>
      <c r="F582" s="60"/>
      <c r="G582" s="60"/>
      <c r="H582" s="60"/>
      <c r="I582" s="65"/>
      <c r="J582" s="58"/>
      <c r="K582" s="58"/>
      <c r="L582" s="58"/>
      <c r="M582" s="58"/>
      <c r="N582" s="58"/>
      <c r="O582" s="58"/>
      <c r="P582" s="58"/>
      <c r="Q582" s="58"/>
      <c r="R582" s="58"/>
      <c r="S582" s="48"/>
    </row>
    <row r="583" spans="2:25">
      <c r="B583" s="47" t="s">
        <v>3894</v>
      </c>
      <c r="C583" s="41" t="s">
        <v>2999</v>
      </c>
      <c r="D583" s="60"/>
      <c r="E583" s="60"/>
      <c r="F583" s="60"/>
      <c r="G583" s="60"/>
      <c r="H583" s="65"/>
      <c r="I583" s="58"/>
      <c r="J583" s="58"/>
      <c r="K583" s="58"/>
      <c r="L583" s="58"/>
      <c r="M583" s="58"/>
      <c r="N583" s="58"/>
      <c r="O583" s="58"/>
      <c r="P583" s="58"/>
      <c r="Q583" s="58"/>
      <c r="R583" s="58"/>
      <c r="S583" s="48"/>
    </row>
    <row r="584" spans="2:25">
      <c r="B584" s="47" t="s">
        <v>3895</v>
      </c>
      <c r="C584" s="41" t="s">
        <v>3001</v>
      </c>
      <c r="D584" s="60"/>
      <c r="E584" s="60"/>
      <c r="F584" s="60"/>
      <c r="G584" s="65"/>
      <c r="H584" s="58"/>
      <c r="I584" s="58"/>
      <c r="J584" s="58"/>
      <c r="K584" s="58"/>
      <c r="L584" s="58"/>
      <c r="M584" s="58"/>
      <c r="N584" s="58"/>
      <c r="O584" s="58"/>
      <c r="P584" s="58"/>
      <c r="Q584" s="58"/>
      <c r="R584" s="58"/>
      <c r="S584" s="48"/>
    </row>
    <row r="585" spans="2:25">
      <c r="B585" s="47" t="s">
        <v>3896</v>
      </c>
      <c r="C585" s="41" t="s">
        <v>3003</v>
      </c>
      <c r="D585" s="60"/>
      <c r="E585" s="60"/>
      <c r="F585" s="65"/>
      <c r="G585" s="58"/>
      <c r="H585" s="58"/>
      <c r="I585" s="58"/>
      <c r="J585" s="58"/>
      <c r="K585" s="58"/>
      <c r="L585" s="58"/>
      <c r="M585" s="58"/>
      <c r="N585" s="58"/>
      <c r="O585" s="58"/>
      <c r="P585" s="58"/>
      <c r="Q585" s="58"/>
      <c r="R585" s="58"/>
      <c r="S585" s="48"/>
    </row>
    <row r="586" spans="2:25">
      <c r="B586" s="47" t="s">
        <v>3897</v>
      </c>
      <c r="C586" s="41" t="s">
        <v>3005</v>
      </c>
      <c r="D586" s="60"/>
      <c r="E586" s="65"/>
      <c r="F586" s="58"/>
      <c r="G586" s="58"/>
      <c r="H586" s="58"/>
      <c r="I586" s="58"/>
      <c r="J586" s="58"/>
      <c r="K586" s="58"/>
      <c r="L586" s="58"/>
      <c r="M586" s="58"/>
      <c r="N586" s="58"/>
      <c r="O586" s="58"/>
      <c r="P586" s="58"/>
      <c r="Q586" s="58"/>
      <c r="R586" s="58"/>
      <c r="S586" s="48"/>
    </row>
    <row r="587" spans="2:25">
      <c r="B587" s="47" t="s">
        <v>3898</v>
      </c>
      <c r="C587" s="41" t="s">
        <v>3007</v>
      </c>
      <c r="D587" s="64"/>
      <c r="E587" s="56"/>
      <c r="F587" s="56"/>
      <c r="G587" s="56"/>
      <c r="H587" s="56"/>
      <c r="I587" s="56"/>
      <c r="J587" s="56"/>
      <c r="K587" s="56"/>
      <c r="L587" s="56"/>
      <c r="M587" s="56"/>
      <c r="N587" s="56"/>
      <c r="O587" s="56"/>
      <c r="P587" s="56"/>
      <c r="Q587" s="56"/>
      <c r="R587" s="56"/>
      <c r="S587" s="46"/>
    </row>
    <row r="589" spans="2:25">
      <c r="X589" s="13" t="str">
        <f>Show!$B$87&amp;Show!$B$87&amp;"S.19.01.01.17 Rows {"&amp;COLUMN($C$1)&amp;"}"</f>
        <v>!!S.19.01.01.17 Rows {3}</v>
      </c>
      <c r="Y589" s="13" t="str">
        <f>Show!$B$87&amp;Show!$B$87&amp;"S.19.01.01.17 Columns {"&amp;COLUMN($S$1)&amp;"}"</f>
        <v>!!S.19.01.01.17 Columns {19}</v>
      </c>
    </row>
    <row r="591" spans="2:25" ht="18.75">
      <c r="B591" s="88" t="s">
        <v>4082</v>
      </c>
      <c r="C591" s="87"/>
      <c r="D591" s="87"/>
      <c r="E591" s="87"/>
      <c r="F591" s="87"/>
      <c r="G591" s="87"/>
      <c r="H591" s="87"/>
      <c r="I591" s="87"/>
      <c r="J591" s="87"/>
      <c r="K591" s="87"/>
      <c r="L591" s="87"/>
    </row>
    <row r="593" spans="2:25">
      <c r="B593" t="s">
        <v>3110</v>
      </c>
      <c r="X593" s="13" t="str">
        <f>Show!$B$87&amp;"S.19.01.01.18 Table label {"&amp;COLUMN($C$1)&amp;"}"</f>
        <v>!S.19.01.01.18 Table label {3}</v>
      </c>
      <c r="Y593" s="13" t="str">
        <f>Show!$B$87&amp;"S.19.01.01.18 Table value {"&amp;COLUMN($D$1)&amp;"}"</f>
        <v>!S.19.01.01.18 Table value {4}</v>
      </c>
    </row>
    <row r="594" spans="2:25">
      <c r="B594" t="s">
        <v>3111</v>
      </c>
    </row>
    <row r="595" spans="2:25">
      <c r="B595" s="40" t="s">
        <v>3427</v>
      </c>
      <c r="C595" s="53" t="s">
        <v>3113</v>
      </c>
      <c r="D595" s="51"/>
    </row>
    <row r="596" spans="2:25">
      <c r="B596" s="40" t="s">
        <v>3868</v>
      </c>
      <c r="C596" s="53" t="s">
        <v>3115</v>
      </c>
      <c r="D596" s="51"/>
    </row>
    <row r="597" spans="2:25">
      <c r="B597" s="40" t="s">
        <v>3606</v>
      </c>
      <c r="C597" s="53" t="s">
        <v>3323</v>
      </c>
      <c r="D597" s="51"/>
    </row>
    <row r="598" spans="2:25">
      <c r="B598" s="40" t="s">
        <v>3874</v>
      </c>
      <c r="C598" s="53" t="s">
        <v>3875</v>
      </c>
      <c r="D598" s="51"/>
    </row>
    <row r="599" spans="2:25">
      <c r="X599" s="13" t="str">
        <f>Show!$B$87&amp;Show!$B$87&amp;"S.19.01.01.18 Table label {"&amp;COLUMN($C$1)&amp;"}"</f>
        <v>!!S.19.01.01.18 Table label {3}</v>
      </c>
      <c r="Y599" s="13" t="str">
        <f>Show!$B$87&amp;Show!$B$87&amp;"S.19.01.01.18 Table value {"&amp;COLUMN($D$1)&amp;"}"</f>
        <v>!!S.19.01.01.18 Table value {4}</v>
      </c>
    </row>
    <row r="601" spans="2:25">
      <c r="D601" s="89" t="s">
        <v>2877</v>
      </c>
    </row>
    <row r="602" spans="2:25">
      <c r="D602" s="91"/>
    </row>
    <row r="603" spans="2:25">
      <c r="D603" s="55" t="s">
        <v>3953</v>
      </c>
    </row>
    <row r="604" spans="2:25">
      <c r="D604" s="45" t="s">
        <v>4083</v>
      </c>
      <c r="X604" s="13" t="str">
        <f>Show!$B$87&amp;"S.19.01.01.18 Rows {"&amp;COLUMN($C$1)&amp;"}"&amp;"@ForceFilingCode:true"</f>
        <v>!S.19.01.01.18 Rows {3}@ForceFilingCode:true</v>
      </c>
      <c r="Y604" s="13" t="str">
        <f>Show!$B$87&amp;"S.19.01.01.18 Columns {"&amp;COLUMN($D$1)&amp;"}"</f>
        <v>!S.19.01.01.18 Columns {4}</v>
      </c>
    </row>
    <row r="605" spans="2:25">
      <c r="B605" s="43" t="s">
        <v>2880</v>
      </c>
      <c r="C605" s="44" t="s">
        <v>2878</v>
      </c>
      <c r="D605" s="46"/>
    </row>
    <row r="606" spans="2:25">
      <c r="B606" s="47" t="s">
        <v>3947</v>
      </c>
      <c r="C606" s="41" t="s">
        <v>2977</v>
      </c>
      <c r="D606" s="60"/>
    </row>
    <row r="607" spans="2:25">
      <c r="B607" s="47" t="s">
        <v>3884</v>
      </c>
      <c r="C607" s="41" t="s">
        <v>2979</v>
      </c>
      <c r="D607" s="60"/>
    </row>
    <row r="608" spans="2:25">
      <c r="B608" s="47" t="s">
        <v>3885</v>
      </c>
      <c r="C608" s="41" t="s">
        <v>2981</v>
      </c>
      <c r="D608" s="60"/>
    </row>
    <row r="609" spans="2:25">
      <c r="B609" s="47" t="s">
        <v>3886</v>
      </c>
      <c r="C609" s="41" t="s">
        <v>2983</v>
      </c>
      <c r="D609" s="60"/>
    </row>
    <row r="610" spans="2:25">
      <c r="B610" s="47" t="s">
        <v>3887</v>
      </c>
      <c r="C610" s="41" t="s">
        <v>2985</v>
      </c>
      <c r="D610" s="60"/>
    </row>
    <row r="611" spans="2:25">
      <c r="B611" s="47" t="s">
        <v>3888</v>
      </c>
      <c r="C611" s="41" t="s">
        <v>2987</v>
      </c>
      <c r="D611" s="60"/>
    </row>
    <row r="612" spans="2:25">
      <c r="B612" s="47" t="s">
        <v>3889</v>
      </c>
      <c r="C612" s="41" t="s">
        <v>2989</v>
      </c>
      <c r="D612" s="60"/>
    </row>
    <row r="613" spans="2:25">
      <c r="B613" s="47" t="s">
        <v>3890</v>
      </c>
      <c r="C613" s="41" t="s">
        <v>2991</v>
      </c>
      <c r="D613" s="60"/>
    </row>
    <row r="614" spans="2:25">
      <c r="B614" s="47" t="s">
        <v>3891</v>
      </c>
      <c r="C614" s="41" t="s">
        <v>2993</v>
      </c>
      <c r="D614" s="60"/>
    </row>
    <row r="615" spans="2:25">
      <c r="B615" s="47" t="s">
        <v>3892</v>
      </c>
      <c r="C615" s="41" t="s">
        <v>2995</v>
      </c>
      <c r="D615" s="60"/>
    </row>
    <row r="616" spans="2:25">
      <c r="B616" s="47" t="s">
        <v>3893</v>
      </c>
      <c r="C616" s="41" t="s">
        <v>2997</v>
      </c>
      <c r="D616" s="60"/>
    </row>
    <row r="617" spans="2:25">
      <c r="B617" s="47" t="s">
        <v>3894</v>
      </c>
      <c r="C617" s="41" t="s">
        <v>2999</v>
      </c>
      <c r="D617" s="60"/>
    </row>
    <row r="618" spans="2:25">
      <c r="B618" s="47" t="s">
        <v>3895</v>
      </c>
      <c r="C618" s="41" t="s">
        <v>3001</v>
      </c>
      <c r="D618" s="60"/>
    </row>
    <row r="619" spans="2:25">
      <c r="B619" s="47" t="s">
        <v>3896</v>
      </c>
      <c r="C619" s="41" t="s">
        <v>3003</v>
      </c>
      <c r="D619" s="60"/>
    </row>
    <row r="620" spans="2:25">
      <c r="B620" s="47" t="s">
        <v>3897</v>
      </c>
      <c r="C620" s="41" t="s">
        <v>3005</v>
      </c>
      <c r="D620" s="60"/>
    </row>
    <row r="621" spans="2:25">
      <c r="B621" s="47" t="s">
        <v>3898</v>
      </c>
      <c r="C621" s="41" t="s">
        <v>3007</v>
      </c>
      <c r="D621" s="60"/>
    </row>
    <row r="622" spans="2:25">
      <c r="B622" s="47" t="s">
        <v>3480</v>
      </c>
      <c r="C622" s="41" t="s">
        <v>3009</v>
      </c>
      <c r="D622" s="60"/>
    </row>
    <row r="624" spans="2:25">
      <c r="X624" s="13" t="str">
        <f>Show!$B$87&amp;Show!$B$87&amp;"S.19.01.01.18 Rows {"&amp;COLUMN($C$1)&amp;"}"</f>
        <v>!!S.19.01.01.18 Rows {3}</v>
      </c>
      <c r="Y624" s="13" t="str">
        <f>Show!$B$87&amp;Show!$B$87&amp;"S.19.01.01.18 Columns {"&amp;COLUMN($D$1)&amp;"}"</f>
        <v>!!S.19.01.01.18 Columns {4}</v>
      </c>
    </row>
    <row r="626" spans="2:25" ht="18.75">
      <c r="B626" s="88" t="s">
        <v>4084</v>
      </c>
      <c r="C626" s="87"/>
      <c r="D626" s="87"/>
      <c r="E626" s="87"/>
      <c r="F626" s="87"/>
      <c r="G626" s="87"/>
      <c r="H626" s="87"/>
      <c r="I626" s="87"/>
      <c r="J626" s="87"/>
      <c r="K626" s="87"/>
      <c r="L626" s="87"/>
    </row>
    <row r="628" spans="2:25">
      <c r="B628" t="s">
        <v>3110</v>
      </c>
      <c r="X628" s="13" t="str">
        <f>Show!$B$87&amp;"S.19.01.01.19 Table label {"&amp;COLUMN($C$1)&amp;"}"</f>
        <v>!S.19.01.01.19 Table label {3}</v>
      </c>
      <c r="Y628" s="13" t="str">
        <f>Show!$B$87&amp;"S.19.01.01.19 Table value {"&amp;COLUMN($D$1)&amp;"}"</f>
        <v>!S.19.01.01.19 Table value {4}</v>
      </c>
    </row>
    <row r="629" spans="2:25">
      <c r="B629" t="s">
        <v>3111</v>
      </c>
    </row>
    <row r="630" spans="2:25">
      <c r="B630" s="40" t="s">
        <v>3427</v>
      </c>
      <c r="C630" s="53" t="s">
        <v>3113</v>
      </c>
      <c r="D630" s="51"/>
    </row>
    <row r="631" spans="2:25">
      <c r="B631" s="40" t="s">
        <v>3606</v>
      </c>
      <c r="C631" s="53" t="s">
        <v>3323</v>
      </c>
      <c r="D631" s="51"/>
    </row>
    <row r="632" spans="2:25">
      <c r="X632" s="13" t="str">
        <f>Show!$B$87&amp;Show!$B$87&amp;"S.19.01.01.19 Table label {"&amp;COLUMN($C$1)&amp;"}"</f>
        <v>!!S.19.01.01.19 Table label {3}</v>
      </c>
      <c r="Y632" s="13" t="str">
        <f>Show!$B$87&amp;Show!$B$87&amp;"S.19.01.01.19 Table value {"&amp;COLUMN($D$1)&amp;"}"</f>
        <v>!!S.19.01.01.19 Table value {4}</v>
      </c>
    </row>
    <row r="634" spans="2:25">
      <c r="D634" s="92" t="s">
        <v>2877</v>
      </c>
      <c r="E634" s="93"/>
      <c r="F634" s="93"/>
      <c r="G634" s="93"/>
      <c r="H634" s="93"/>
      <c r="I634" s="93"/>
      <c r="J634" s="93"/>
      <c r="K634" s="93"/>
      <c r="L634" s="93"/>
      <c r="M634" s="93"/>
      <c r="N634" s="93"/>
      <c r="O634" s="93"/>
      <c r="P634" s="93"/>
      <c r="Q634" s="93"/>
      <c r="R634" s="94"/>
    </row>
    <row r="635" spans="2:25">
      <c r="D635" s="95"/>
      <c r="E635" s="96"/>
      <c r="F635" s="96"/>
      <c r="G635" s="96"/>
      <c r="H635" s="96"/>
      <c r="I635" s="96"/>
      <c r="J635" s="96"/>
      <c r="K635" s="96"/>
      <c r="L635" s="96"/>
      <c r="M635" s="96"/>
      <c r="N635" s="96"/>
      <c r="O635" s="96"/>
      <c r="P635" s="96"/>
      <c r="Q635" s="96"/>
      <c r="R635" s="97"/>
    </row>
    <row r="636" spans="2:25">
      <c r="D636" s="55" t="s">
        <v>3884</v>
      </c>
      <c r="E636" s="55" t="s">
        <v>3885</v>
      </c>
      <c r="F636" s="55" t="s">
        <v>3886</v>
      </c>
      <c r="G636" s="55" t="s">
        <v>3887</v>
      </c>
      <c r="H636" s="55" t="s">
        <v>3888</v>
      </c>
      <c r="I636" s="55" t="s">
        <v>3889</v>
      </c>
      <c r="J636" s="55" t="s">
        <v>3890</v>
      </c>
      <c r="K636" s="55" t="s">
        <v>3891</v>
      </c>
      <c r="L636" s="55" t="s">
        <v>3892</v>
      </c>
      <c r="M636" s="55" t="s">
        <v>3893</v>
      </c>
      <c r="N636" s="55" t="s">
        <v>3894</v>
      </c>
      <c r="O636" s="55" t="s">
        <v>3895</v>
      </c>
      <c r="P636" s="55" t="s">
        <v>3896</v>
      </c>
      <c r="Q636" s="55" t="s">
        <v>3897</v>
      </c>
      <c r="R636" s="55" t="s">
        <v>3898</v>
      </c>
    </row>
    <row r="637" spans="2:25">
      <c r="D637" s="45" t="s">
        <v>4085</v>
      </c>
      <c r="E637" s="45" t="s">
        <v>4086</v>
      </c>
      <c r="F637" s="45" t="s">
        <v>4087</v>
      </c>
      <c r="G637" s="45" t="s">
        <v>4088</v>
      </c>
      <c r="H637" s="45" t="s">
        <v>4089</v>
      </c>
      <c r="I637" s="45" t="s">
        <v>4090</v>
      </c>
      <c r="J637" s="45" t="s">
        <v>4091</v>
      </c>
      <c r="K637" s="45" t="s">
        <v>4092</v>
      </c>
      <c r="L637" s="45" t="s">
        <v>4093</v>
      </c>
      <c r="M637" s="45" t="s">
        <v>4094</v>
      </c>
      <c r="N637" s="45" t="s">
        <v>4095</v>
      </c>
      <c r="O637" s="45" t="s">
        <v>4096</v>
      </c>
      <c r="P637" s="45" t="s">
        <v>4097</v>
      </c>
      <c r="Q637" s="45" t="s">
        <v>4098</v>
      </c>
      <c r="R637" s="45" t="s">
        <v>4099</v>
      </c>
      <c r="X637" s="13" t="str">
        <f>Show!$B$87&amp;"S.19.01.01.19 Rows {"&amp;COLUMN($C$1)&amp;"}"&amp;"@ForceFilingCode:true"</f>
        <v>!S.19.01.01.19 Rows {3}@ForceFilingCode:true</v>
      </c>
      <c r="Y637" s="13" t="str">
        <f>Show!$B$87&amp;"S.19.01.01.19 Columns {"&amp;COLUMN($D$1)&amp;"}"</f>
        <v>!S.19.01.01.19 Columns {4}</v>
      </c>
    </row>
    <row r="638" spans="2:25">
      <c r="B638" s="43" t="s">
        <v>2880</v>
      </c>
      <c r="C638" s="44" t="s">
        <v>2878</v>
      </c>
      <c r="D638" s="56"/>
      <c r="E638" s="66"/>
      <c r="F638" s="66"/>
      <c r="G638" s="66"/>
      <c r="H638" s="66"/>
      <c r="I638" s="66"/>
      <c r="J638" s="66"/>
      <c r="K638" s="66"/>
      <c r="L638" s="66"/>
      <c r="M638" s="66"/>
      <c r="N638" s="66"/>
      <c r="O638" s="66"/>
      <c r="P638" s="66"/>
      <c r="Q638" s="66"/>
      <c r="R638" s="57"/>
    </row>
    <row r="639" spans="2:25">
      <c r="B639" s="47" t="s">
        <v>4100</v>
      </c>
      <c r="C639" s="41" t="s">
        <v>3064</v>
      </c>
      <c r="D639" s="70"/>
      <c r="E639" s="70"/>
      <c r="F639" s="70"/>
      <c r="G639" s="70"/>
      <c r="H639" s="70"/>
      <c r="I639" s="70"/>
      <c r="J639" s="70"/>
      <c r="K639" s="70"/>
      <c r="L639" s="70"/>
      <c r="M639" s="70"/>
      <c r="N639" s="70"/>
      <c r="O639" s="70"/>
      <c r="P639" s="70"/>
      <c r="Q639" s="70"/>
      <c r="R639" s="70"/>
    </row>
    <row r="640" spans="2:25">
      <c r="B640" s="47" t="s">
        <v>4101</v>
      </c>
      <c r="C640" s="41" t="s">
        <v>3066</v>
      </c>
      <c r="D640" s="70"/>
      <c r="E640" s="70"/>
      <c r="F640" s="70"/>
      <c r="G640" s="70"/>
      <c r="H640" s="70"/>
      <c r="I640" s="70"/>
      <c r="J640" s="70"/>
      <c r="K640" s="70"/>
      <c r="L640" s="70"/>
      <c r="M640" s="70"/>
      <c r="N640" s="70"/>
      <c r="O640" s="70"/>
      <c r="P640" s="70"/>
      <c r="Q640" s="70"/>
      <c r="R640" s="70"/>
    </row>
    <row r="641" spans="2:25">
      <c r="B641" s="47" t="s">
        <v>4102</v>
      </c>
      <c r="C641" s="41" t="s">
        <v>3068</v>
      </c>
      <c r="D641" s="70"/>
      <c r="E641" s="70"/>
      <c r="F641" s="70"/>
      <c r="G641" s="70"/>
      <c r="H641" s="70"/>
      <c r="I641" s="70"/>
      <c r="J641" s="70"/>
      <c r="K641" s="70"/>
      <c r="L641" s="70"/>
      <c r="M641" s="70"/>
      <c r="N641" s="70"/>
      <c r="O641" s="70"/>
      <c r="P641" s="70"/>
      <c r="Q641" s="70"/>
      <c r="R641" s="70"/>
    </row>
    <row r="643" spans="2:25">
      <c r="X643" s="13" t="str">
        <f>Show!$B$87&amp;Show!$B$87&amp;"S.19.01.01.19 Rows {"&amp;COLUMN($C$1)&amp;"}"</f>
        <v>!!S.19.01.01.19 Rows {3}</v>
      </c>
      <c r="Y643" s="13" t="str">
        <f>Show!$B$87&amp;Show!$B$87&amp;"S.19.01.01.19 Columns {"&amp;COLUMN($R$1)&amp;"}"</f>
        <v>!!S.19.01.01.19 Columns {18}</v>
      </c>
    </row>
    <row r="645" spans="2:25" ht="18.75">
      <c r="B645" s="88" t="s">
        <v>4103</v>
      </c>
      <c r="C645" s="87"/>
      <c r="D645" s="87"/>
      <c r="E645" s="87"/>
      <c r="F645" s="87"/>
      <c r="G645" s="87"/>
      <c r="H645" s="87"/>
      <c r="I645" s="87"/>
      <c r="J645" s="87"/>
      <c r="K645" s="87"/>
      <c r="L645" s="87"/>
    </row>
    <row r="647" spans="2:25">
      <c r="B647" t="s">
        <v>3110</v>
      </c>
      <c r="X647" s="13" t="str">
        <f>Show!$B$87&amp;"S.19.01.01.20 Table label {"&amp;COLUMN($C$1)&amp;"}"</f>
        <v>!S.19.01.01.20 Table label {3}</v>
      </c>
      <c r="Y647" s="13" t="str">
        <f>Show!$B$87&amp;"S.19.01.01.20 Table value {"&amp;COLUMN($D$1)&amp;"}"</f>
        <v>!S.19.01.01.20 Table value {4}</v>
      </c>
    </row>
    <row r="648" spans="2:25">
      <c r="B648" t="s">
        <v>3111</v>
      </c>
    </row>
    <row r="649" spans="2:25">
      <c r="B649" s="40" t="s">
        <v>3427</v>
      </c>
      <c r="C649" s="53" t="s">
        <v>3113</v>
      </c>
      <c r="D649" s="51"/>
    </row>
    <row r="650" spans="2:25">
      <c r="B650" s="40" t="s">
        <v>3606</v>
      </c>
      <c r="C650" s="53" t="s">
        <v>3323</v>
      </c>
      <c r="D650" s="51"/>
    </row>
    <row r="651" spans="2:25">
      <c r="X651" s="13" t="str">
        <f>Show!$B$87&amp;Show!$B$87&amp;"S.19.01.01.20 Table label {"&amp;COLUMN($C$1)&amp;"}"</f>
        <v>!!S.19.01.01.20 Table label {3}</v>
      </c>
      <c r="Y651" s="13" t="str">
        <f>Show!$B$87&amp;Show!$B$87&amp;"S.19.01.01.20 Table value {"&amp;COLUMN($D$1)&amp;"}"</f>
        <v>!!S.19.01.01.20 Table value {4}</v>
      </c>
    </row>
    <row r="653" spans="2:25">
      <c r="D653" s="92" t="s">
        <v>2877</v>
      </c>
      <c r="E653" s="93"/>
      <c r="F653" s="93"/>
      <c r="G653" s="93"/>
      <c r="H653" s="93"/>
      <c r="I653" s="93"/>
      <c r="J653" s="93"/>
      <c r="K653" s="93"/>
      <c r="L653" s="93"/>
      <c r="M653" s="93"/>
      <c r="N653" s="93"/>
      <c r="O653" s="93"/>
      <c r="P653" s="93"/>
      <c r="Q653" s="93"/>
      <c r="R653" s="94"/>
    </row>
    <row r="654" spans="2:25">
      <c r="D654" s="95"/>
      <c r="E654" s="96"/>
      <c r="F654" s="96"/>
      <c r="G654" s="96"/>
      <c r="H654" s="96"/>
      <c r="I654" s="96"/>
      <c r="J654" s="96"/>
      <c r="K654" s="96"/>
      <c r="L654" s="96"/>
      <c r="M654" s="96"/>
      <c r="N654" s="96"/>
      <c r="O654" s="96"/>
      <c r="P654" s="96"/>
      <c r="Q654" s="96"/>
      <c r="R654" s="97"/>
    </row>
    <row r="655" spans="2:25">
      <c r="D655" s="55" t="s">
        <v>4104</v>
      </c>
      <c r="E655" s="55" t="s">
        <v>4106</v>
      </c>
      <c r="F655" s="55" t="s">
        <v>4108</v>
      </c>
      <c r="G655" s="55" t="s">
        <v>4110</v>
      </c>
      <c r="H655" s="55" t="s">
        <v>4112</v>
      </c>
      <c r="I655" s="55" t="s">
        <v>4114</v>
      </c>
      <c r="J655" s="55" t="s">
        <v>4116</v>
      </c>
      <c r="K655" s="55" t="s">
        <v>4118</v>
      </c>
      <c r="L655" s="55" t="s">
        <v>4120</v>
      </c>
      <c r="M655" s="55" t="s">
        <v>4122</v>
      </c>
      <c r="N655" s="55" t="s">
        <v>4124</v>
      </c>
      <c r="O655" s="55" t="s">
        <v>4126</v>
      </c>
      <c r="P655" s="55" t="s">
        <v>4128</v>
      </c>
      <c r="Q655" s="55" t="s">
        <v>4130</v>
      </c>
      <c r="R655" s="55" t="s">
        <v>4132</v>
      </c>
    </row>
    <row r="656" spans="2:25">
      <c r="D656" s="45" t="s">
        <v>4105</v>
      </c>
      <c r="E656" s="45" t="s">
        <v>4107</v>
      </c>
      <c r="F656" s="45" t="s">
        <v>4109</v>
      </c>
      <c r="G656" s="45" t="s">
        <v>4111</v>
      </c>
      <c r="H656" s="45" t="s">
        <v>4113</v>
      </c>
      <c r="I656" s="45" t="s">
        <v>4115</v>
      </c>
      <c r="J656" s="45" t="s">
        <v>4117</v>
      </c>
      <c r="K656" s="45" t="s">
        <v>4119</v>
      </c>
      <c r="L656" s="45" t="s">
        <v>4121</v>
      </c>
      <c r="M656" s="45" t="s">
        <v>4123</v>
      </c>
      <c r="N656" s="45" t="s">
        <v>4125</v>
      </c>
      <c r="O656" s="45" t="s">
        <v>4127</v>
      </c>
      <c r="P656" s="45" t="s">
        <v>4129</v>
      </c>
      <c r="Q656" s="45" t="s">
        <v>4131</v>
      </c>
      <c r="R656" s="45" t="s">
        <v>4133</v>
      </c>
      <c r="X656" s="13" t="str">
        <f>Show!$B$87&amp;"S.19.01.01.20 Rows {"&amp;COLUMN($C$1)&amp;"}"&amp;"@ForceFilingCode:true"</f>
        <v>!S.19.01.01.20 Rows {3}@ForceFilingCode:true</v>
      </c>
      <c r="Y656" s="13" t="str">
        <f>Show!$B$87&amp;"S.19.01.01.20 Columns {"&amp;COLUMN($D$1)&amp;"}"</f>
        <v>!S.19.01.01.20 Columns {4}</v>
      </c>
    </row>
    <row r="657" spans="2:25">
      <c r="B657" s="43" t="s">
        <v>2880</v>
      </c>
      <c r="C657" s="44" t="s">
        <v>2878</v>
      </c>
      <c r="D657" s="56"/>
      <c r="E657" s="66"/>
      <c r="F657" s="66"/>
      <c r="G657" s="66"/>
      <c r="H657" s="66"/>
      <c r="I657" s="66"/>
      <c r="J657" s="66"/>
      <c r="K657" s="66"/>
      <c r="L657" s="66"/>
      <c r="M657" s="66"/>
      <c r="N657" s="66"/>
      <c r="O657" s="66"/>
      <c r="P657" s="66"/>
      <c r="Q657" s="66"/>
      <c r="R657" s="57"/>
    </row>
    <row r="658" spans="2:25">
      <c r="B658" s="47" t="s">
        <v>4134</v>
      </c>
      <c r="C658" s="41" t="s">
        <v>3070</v>
      </c>
      <c r="D658" s="70"/>
      <c r="E658" s="70"/>
      <c r="F658" s="70"/>
      <c r="G658" s="70"/>
      <c r="H658" s="70"/>
      <c r="I658" s="70"/>
      <c r="J658" s="70"/>
      <c r="K658" s="70"/>
      <c r="L658" s="70"/>
      <c r="M658" s="70"/>
      <c r="N658" s="70"/>
      <c r="O658" s="70"/>
      <c r="P658" s="70"/>
      <c r="Q658" s="70"/>
      <c r="R658" s="70"/>
    </row>
    <row r="659" spans="2:25">
      <c r="B659" s="47" t="s">
        <v>4135</v>
      </c>
      <c r="C659" s="41" t="s">
        <v>3017</v>
      </c>
      <c r="D659" s="70"/>
      <c r="E659" s="70"/>
      <c r="F659" s="70"/>
      <c r="G659" s="70"/>
      <c r="H659" s="70"/>
      <c r="I659" s="70"/>
      <c r="J659" s="70"/>
      <c r="K659" s="70"/>
      <c r="L659" s="70"/>
      <c r="M659" s="70"/>
      <c r="N659" s="70"/>
      <c r="O659" s="70"/>
      <c r="P659" s="70"/>
      <c r="Q659" s="70"/>
      <c r="R659" s="70"/>
    </row>
    <row r="660" spans="2:25">
      <c r="B660" s="47" t="s">
        <v>4136</v>
      </c>
      <c r="C660" s="41" t="s">
        <v>3019</v>
      </c>
      <c r="D660" s="70"/>
      <c r="E660" s="70"/>
      <c r="F660" s="70"/>
      <c r="G660" s="70"/>
      <c r="H660" s="70"/>
      <c r="I660" s="70"/>
      <c r="J660" s="70"/>
      <c r="K660" s="70"/>
      <c r="L660" s="70"/>
      <c r="M660" s="70"/>
      <c r="N660" s="70"/>
      <c r="O660" s="70"/>
      <c r="P660" s="70"/>
      <c r="Q660" s="70"/>
      <c r="R660" s="70"/>
    </row>
    <row r="662" spans="2:25">
      <c r="X662" s="13" t="str">
        <f>Show!$B$87&amp;Show!$B$87&amp;"S.19.01.01.20 Rows {"&amp;COLUMN($C$1)&amp;"}"</f>
        <v>!!S.19.01.01.20 Rows {3}</v>
      </c>
      <c r="Y662" s="13" t="str">
        <f>Show!$B$87&amp;Show!$B$87&amp;"S.19.01.01.20 Columns {"&amp;COLUMN($R$1)&amp;"}"</f>
        <v>!!S.19.01.01.20 Columns {18}</v>
      </c>
    </row>
    <row r="664" spans="2:25" ht="18.75">
      <c r="B664" s="88" t="s">
        <v>4137</v>
      </c>
      <c r="C664" s="87"/>
      <c r="D664" s="87"/>
      <c r="E664" s="87"/>
      <c r="F664" s="87"/>
      <c r="G664" s="87"/>
      <c r="H664" s="87"/>
      <c r="I664" s="87"/>
      <c r="J664" s="87"/>
      <c r="K664" s="87"/>
      <c r="L664" s="87"/>
    </row>
    <row r="666" spans="2:25">
      <c r="B666" t="s">
        <v>3110</v>
      </c>
      <c r="X666" s="13" t="str">
        <f>Show!$B$87&amp;"S.19.01.01.21 Table label {"&amp;COLUMN($C$1)&amp;"}"</f>
        <v>!S.19.01.01.21 Table label {3}</v>
      </c>
      <c r="Y666" s="13" t="str">
        <f>Show!$B$87&amp;"S.19.01.01.21 Table value {"&amp;COLUMN($D$1)&amp;"}"</f>
        <v>!S.19.01.01.21 Table value {4}</v>
      </c>
    </row>
    <row r="667" spans="2:25">
      <c r="B667" t="s">
        <v>3111</v>
      </c>
    </row>
    <row r="668" spans="2:25">
      <c r="B668" s="40" t="s">
        <v>3427</v>
      </c>
      <c r="C668" s="53" t="s">
        <v>3113</v>
      </c>
      <c r="D668" s="51"/>
    </row>
    <row r="669" spans="2:25">
      <c r="B669" s="40" t="s">
        <v>3606</v>
      </c>
      <c r="C669" s="53" t="s">
        <v>3323</v>
      </c>
      <c r="D669" s="51"/>
    </row>
    <row r="670" spans="2:25">
      <c r="X670" s="13" t="str">
        <f>Show!$B$87&amp;Show!$B$87&amp;"S.19.01.01.21 Table label {"&amp;COLUMN($C$1)&amp;"}"</f>
        <v>!!S.19.01.01.21 Table label {3}</v>
      </c>
      <c r="Y670" s="13" t="str">
        <f>Show!$B$87&amp;Show!$B$87&amp;"S.19.01.01.21 Table value {"&amp;COLUMN($D$1)&amp;"}"</f>
        <v>!!S.19.01.01.21 Table value {4}</v>
      </c>
    </row>
    <row r="672" spans="2:25">
      <c r="D672" s="89" t="s">
        <v>2877</v>
      </c>
    </row>
    <row r="673" spans="2:25">
      <c r="D673" s="91"/>
    </row>
    <row r="674" spans="2:25">
      <c r="D674" s="55" t="s">
        <v>4138</v>
      </c>
    </row>
    <row r="675" spans="2:25">
      <c r="D675" s="45" t="s">
        <v>4139</v>
      </c>
      <c r="X675" s="13" t="str">
        <f>Show!$B$87&amp;"S.19.01.01.21 Rows {"&amp;COLUMN($C$1)&amp;"}"&amp;"@ForceFilingCode:true"</f>
        <v>!S.19.01.01.21 Rows {3}@ForceFilingCode:true</v>
      </c>
      <c r="Y675" s="13" t="str">
        <f>Show!$B$87&amp;"S.19.01.01.21 Columns {"&amp;COLUMN($D$1)&amp;"}"</f>
        <v>!S.19.01.01.21 Columns {4}</v>
      </c>
    </row>
    <row r="676" spans="2:25">
      <c r="B676" s="43" t="s">
        <v>2880</v>
      </c>
      <c r="C676" s="44" t="s">
        <v>2878</v>
      </c>
      <c r="D676" s="46"/>
    </row>
    <row r="677" spans="2:25">
      <c r="B677" s="47" t="s">
        <v>4140</v>
      </c>
      <c r="C677" s="41" t="s">
        <v>3021</v>
      </c>
      <c r="D677" s="51"/>
    </row>
    <row r="679" spans="2:25">
      <c r="X679" s="13" t="str">
        <f>Show!$B$87&amp;Show!$B$87&amp;"S.19.01.01.21 Rows {"&amp;COLUMN($C$1)&amp;"}"</f>
        <v>!!S.19.01.01.21 Rows {3}</v>
      </c>
      <c r="Y679" s="13" t="str">
        <f>Show!$B$87&amp;Show!$B$87&amp;"S.19.01.01.21 Columns {"&amp;COLUMN($D$1)&amp;"}"</f>
        <v>!!S.19.01.01.21 Columns {4}</v>
      </c>
    </row>
  </sheetData>
  <sheetProtection sheet="1" objects="1" scenarios="1"/>
  <mergeCells count="43">
    <mergeCell ref="B177:L177"/>
    <mergeCell ref="B2:O2"/>
    <mergeCell ref="B5:L5"/>
    <mergeCell ref="D15:S16"/>
    <mergeCell ref="B39:L39"/>
    <mergeCell ref="D49:E50"/>
    <mergeCell ref="B74:L74"/>
    <mergeCell ref="D84:S85"/>
    <mergeCell ref="B108:L108"/>
    <mergeCell ref="D118:D119"/>
    <mergeCell ref="B143:L143"/>
    <mergeCell ref="D153:S154"/>
    <mergeCell ref="B384:L384"/>
    <mergeCell ref="D187:D188"/>
    <mergeCell ref="B212:L212"/>
    <mergeCell ref="D222:S223"/>
    <mergeCell ref="B246:L246"/>
    <mergeCell ref="D256:E257"/>
    <mergeCell ref="B281:L281"/>
    <mergeCell ref="D291:S292"/>
    <mergeCell ref="B315:L315"/>
    <mergeCell ref="D325:D326"/>
    <mergeCell ref="B350:L350"/>
    <mergeCell ref="D360:S361"/>
    <mergeCell ref="B591:L591"/>
    <mergeCell ref="D394:D395"/>
    <mergeCell ref="B419:L419"/>
    <mergeCell ref="D429:S430"/>
    <mergeCell ref="B453:L453"/>
    <mergeCell ref="D463:E464"/>
    <mergeCell ref="B488:L488"/>
    <mergeCell ref="D498:S499"/>
    <mergeCell ref="B522:L522"/>
    <mergeCell ref="D532:D533"/>
    <mergeCell ref="B557:L557"/>
    <mergeCell ref="D567:S568"/>
    <mergeCell ref="D672:D673"/>
    <mergeCell ref="D601:D602"/>
    <mergeCell ref="B626:L626"/>
    <mergeCell ref="D634:R635"/>
    <mergeCell ref="B645:L645"/>
    <mergeCell ref="D653:R654"/>
    <mergeCell ref="B664:L664"/>
  </mergeCells>
  <dataValidations count="4">
    <dataValidation type="list" errorStyle="warning" allowBlank="1" showInputMessage="1" showErrorMessage="1" sqref="D9 D43 D78 D112 D147 D181 D216 D250 D285 D319 D354 D388 D423 D457 D492 D526 D561 D595 D630 D649 D668" xr:uid="{6960E852-7438-4C5A-B166-F19741B8798B}">
      <formula1>hier_LB_31</formula1>
    </dataValidation>
    <dataValidation type="list" errorStyle="warning" allowBlank="1" showInputMessage="1" showErrorMessage="1" sqref="D10 D44 D79 D113 D148 D182 D217 D251 D286 D320 D355 D389 D424 D458 D493 D527 D562 D596" xr:uid="{A4F7C3A1-01A5-46CE-B2CF-619526F1AB81}">
      <formula1>hier_AM_8</formula1>
    </dataValidation>
    <dataValidation type="list" errorStyle="warning" allowBlank="1" showInputMessage="1" showErrorMessage="1" sqref="D11 D45 D80 D114 D149 D183 D218 D252 D287 D321 D356 D390 D425 D459 D494 D528 D563 D597 D631 D650 D669" xr:uid="{7F991926-C325-434F-9620-578416498177}">
      <formula1>hier_CU_1</formula1>
    </dataValidation>
    <dataValidation type="list" errorStyle="warning" allowBlank="1" showInputMessage="1" showErrorMessage="1" sqref="D12 D46 D81 D115 D150 D184 D219 D253 D288 D322 D357 D391 D426 D460 D495 D529 D564 D598" xr:uid="{6563631A-2056-45BE-8101-91D6009721FE}">
      <formula1>hier_CA_1</formula1>
    </dataValidation>
  </dataValidation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BF4B4-63D3-4C57-B54D-52DAB1169BCF}">
  <sheetPr codeName="Blad92"/>
  <dimension ref="B2:T109"/>
  <sheetViews>
    <sheetView showGridLines="0" workbookViewId="0">
      <selection activeCell="E46" sqref="E46"/>
    </sheetView>
  </sheetViews>
  <sheetFormatPr defaultRowHeight="15"/>
  <cols>
    <col min="2" max="2" width="31.42578125" bestFit="1" customWidth="1"/>
    <col min="4" max="14" width="15.7109375" customWidth="1"/>
  </cols>
  <sheetData>
    <row r="2" spans="2:20" ht="23.25">
      <c r="B2" s="86" t="s">
        <v>642</v>
      </c>
      <c r="C2" s="87"/>
      <c r="D2" s="87"/>
      <c r="E2" s="87"/>
      <c r="F2" s="87"/>
      <c r="G2" s="87"/>
      <c r="H2" s="87"/>
      <c r="I2" s="87"/>
      <c r="J2" s="87"/>
      <c r="K2" s="87"/>
      <c r="L2" s="87"/>
      <c r="M2" s="87"/>
      <c r="N2" s="87"/>
      <c r="O2" s="87"/>
    </row>
    <row r="5" spans="2:20" ht="18.75">
      <c r="B5" s="88" t="s">
        <v>4141</v>
      </c>
      <c r="C5" s="87"/>
      <c r="D5" s="87"/>
      <c r="E5" s="87"/>
      <c r="F5" s="87"/>
      <c r="G5" s="87"/>
      <c r="H5" s="87"/>
      <c r="I5" s="87"/>
      <c r="J5" s="87"/>
      <c r="K5" s="87"/>
      <c r="L5" s="87"/>
    </row>
    <row r="7" spans="2:20">
      <c r="B7" t="s">
        <v>3110</v>
      </c>
      <c r="S7" s="13"/>
      <c r="T7" s="13"/>
    </row>
    <row r="8" spans="2:20">
      <c r="B8" t="s">
        <v>3111</v>
      </c>
    </row>
    <row r="9" spans="2:20" ht="30">
      <c r="B9" s="40" t="s">
        <v>3868</v>
      </c>
      <c r="C9" s="53" t="s">
        <v>3115</v>
      </c>
      <c r="D9" s="51" t="s">
        <v>2529</v>
      </c>
    </row>
    <row r="10" spans="2:20">
      <c r="S10" s="13"/>
      <c r="T10" s="13"/>
    </row>
    <row r="12" spans="2:20">
      <c r="D12" s="92" t="s">
        <v>2877</v>
      </c>
      <c r="E12" s="93"/>
      <c r="F12" s="93"/>
      <c r="G12" s="93"/>
      <c r="H12" s="93"/>
      <c r="I12" s="93"/>
      <c r="J12" s="93"/>
      <c r="K12" s="93"/>
      <c r="L12" s="93"/>
      <c r="M12" s="93"/>
      <c r="N12" s="94"/>
    </row>
    <row r="13" spans="2:20">
      <c r="D13" s="95"/>
      <c r="E13" s="96"/>
      <c r="F13" s="96"/>
      <c r="G13" s="96"/>
      <c r="H13" s="96"/>
      <c r="I13" s="96"/>
      <c r="J13" s="96"/>
      <c r="K13" s="96"/>
      <c r="L13" s="96"/>
      <c r="M13" s="96"/>
      <c r="N13" s="97"/>
    </row>
    <row r="14" spans="2:20">
      <c r="D14" s="55">
        <v>0</v>
      </c>
      <c r="E14" s="55">
        <v>1</v>
      </c>
      <c r="F14" s="55">
        <v>2</v>
      </c>
      <c r="G14" s="55">
        <v>3</v>
      </c>
      <c r="H14" s="55">
        <v>4</v>
      </c>
      <c r="I14" s="55">
        <v>5</v>
      </c>
      <c r="J14" s="55">
        <v>6</v>
      </c>
      <c r="K14" s="55">
        <v>7</v>
      </c>
      <c r="L14" s="55">
        <v>8</v>
      </c>
      <c r="M14" s="55">
        <v>9</v>
      </c>
      <c r="N14" s="55" t="s">
        <v>4142</v>
      </c>
    </row>
    <row r="15" spans="2:20">
      <c r="D15" s="45" t="s">
        <v>2879</v>
      </c>
      <c r="E15" s="45" t="s">
        <v>3219</v>
      </c>
      <c r="F15" s="45" t="s">
        <v>3225</v>
      </c>
      <c r="G15" s="45" t="s">
        <v>3223</v>
      </c>
      <c r="H15" s="45" t="s">
        <v>3229</v>
      </c>
      <c r="I15" s="45" t="s">
        <v>3231</v>
      </c>
      <c r="J15" s="45" t="s">
        <v>3233</v>
      </c>
      <c r="K15" s="45" t="s">
        <v>3234</v>
      </c>
      <c r="L15" s="45" t="s">
        <v>3236</v>
      </c>
      <c r="M15" s="45" t="s">
        <v>3239</v>
      </c>
      <c r="N15" s="45" t="s">
        <v>3241</v>
      </c>
      <c r="S15" s="13"/>
      <c r="T15" s="13"/>
    </row>
    <row r="16" spans="2:20">
      <c r="B16" s="43" t="s">
        <v>2880</v>
      </c>
      <c r="C16" s="44" t="s">
        <v>2878</v>
      </c>
      <c r="D16" s="58"/>
      <c r="E16" s="67"/>
      <c r="F16" s="67"/>
      <c r="G16" s="67"/>
      <c r="H16" s="67"/>
      <c r="I16" s="67"/>
      <c r="J16" s="67"/>
      <c r="K16" s="67"/>
      <c r="L16" s="67"/>
      <c r="M16" s="67"/>
      <c r="N16" s="57"/>
    </row>
    <row r="17" spans="2:20">
      <c r="B17" s="47" t="s">
        <v>3947</v>
      </c>
      <c r="C17" s="44" t="s">
        <v>2899</v>
      </c>
      <c r="D17" s="56"/>
      <c r="E17" s="56"/>
      <c r="F17" s="56"/>
      <c r="G17" s="56"/>
      <c r="H17" s="56"/>
      <c r="I17" s="56"/>
      <c r="J17" s="56"/>
      <c r="K17" s="56"/>
      <c r="L17" s="56"/>
      <c r="M17" s="46"/>
      <c r="N17" s="83">
        <v>7239084.2501416709</v>
      </c>
    </row>
    <row r="18" spans="2:20">
      <c r="B18" s="47" t="s">
        <v>3889</v>
      </c>
      <c r="C18" s="41" t="s">
        <v>2911</v>
      </c>
      <c r="D18" s="83">
        <v>0</v>
      </c>
      <c r="E18" s="83">
        <v>0</v>
      </c>
      <c r="F18" s="83">
        <v>0</v>
      </c>
      <c r="G18" s="83">
        <v>0</v>
      </c>
      <c r="H18" s="83">
        <v>0</v>
      </c>
      <c r="I18" s="83">
        <v>0</v>
      </c>
      <c r="J18" s="83">
        <v>2235590.2813306889</v>
      </c>
      <c r="K18" s="83">
        <v>3360420.6389549035</v>
      </c>
      <c r="L18" s="83">
        <v>1290206.9831749911</v>
      </c>
      <c r="M18" s="83">
        <v>979284.31468946452</v>
      </c>
      <c r="N18" s="48"/>
    </row>
    <row r="19" spans="2:20">
      <c r="B19" s="47" t="s">
        <v>3890</v>
      </c>
      <c r="C19" s="41" t="s">
        <v>2913</v>
      </c>
      <c r="D19" s="83">
        <v>0</v>
      </c>
      <c r="E19" s="83">
        <v>0</v>
      </c>
      <c r="F19" s="83">
        <v>0</v>
      </c>
      <c r="G19" s="83">
        <v>0</v>
      </c>
      <c r="H19" s="83">
        <v>0</v>
      </c>
      <c r="I19" s="83">
        <v>4279150.7056933064</v>
      </c>
      <c r="J19" s="83">
        <v>4504891.4901109366</v>
      </c>
      <c r="K19" s="83">
        <v>1274241.8519159516</v>
      </c>
      <c r="L19" s="83">
        <v>2114142.4266560334</v>
      </c>
      <c r="M19" s="58"/>
      <c r="N19" s="48"/>
    </row>
    <row r="20" spans="2:20">
      <c r="B20" s="47" t="s">
        <v>3891</v>
      </c>
      <c r="C20" s="41" t="s">
        <v>2915</v>
      </c>
      <c r="D20" s="83">
        <v>0</v>
      </c>
      <c r="E20" s="83">
        <v>210997.98405400003</v>
      </c>
      <c r="F20" s="83">
        <v>80909.458630000008</v>
      </c>
      <c r="G20" s="83">
        <v>44792.921316000007</v>
      </c>
      <c r="H20" s="83">
        <v>9780070.2947597895</v>
      </c>
      <c r="I20" s="83">
        <v>8079941.3942368543</v>
      </c>
      <c r="J20" s="83">
        <v>1852562.6339989787</v>
      </c>
      <c r="K20" s="83">
        <v>1517888.2527069293</v>
      </c>
      <c r="L20" s="58"/>
      <c r="M20" s="58"/>
      <c r="N20" s="48"/>
    </row>
    <row r="21" spans="2:20">
      <c r="B21" s="47" t="s">
        <v>3892</v>
      </c>
      <c r="C21" s="41" t="s">
        <v>2917</v>
      </c>
      <c r="D21" s="83">
        <v>0</v>
      </c>
      <c r="E21" s="83">
        <v>15730436.522700001</v>
      </c>
      <c r="F21" s="83">
        <v>2267583.3701560004</v>
      </c>
      <c r="G21" s="83">
        <v>20901961.493004099</v>
      </c>
      <c r="H21" s="83">
        <v>19744600.010376837</v>
      </c>
      <c r="I21" s="83">
        <v>9890036.8016662095</v>
      </c>
      <c r="J21" s="83">
        <v>3751095.6254342259</v>
      </c>
      <c r="K21" s="58"/>
      <c r="L21" s="58"/>
      <c r="M21" s="58"/>
      <c r="N21" s="48"/>
    </row>
    <row r="22" spans="2:20">
      <c r="B22" s="47" t="s">
        <v>3893</v>
      </c>
      <c r="C22" s="41" t="s">
        <v>2919</v>
      </c>
      <c r="D22" s="83">
        <v>4608657.7534340005</v>
      </c>
      <c r="E22" s="83">
        <v>3150466.8402000004</v>
      </c>
      <c r="F22" s="83">
        <v>25427759.161933929</v>
      </c>
      <c r="G22" s="83">
        <v>24846528.488222446</v>
      </c>
      <c r="H22" s="83">
        <v>14952097.702888431</v>
      </c>
      <c r="I22" s="83">
        <v>10118149.717039272</v>
      </c>
      <c r="J22" s="58"/>
      <c r="K22" s="58"/>
      <c r="L22" s="58"/>
      <c r="M22" s="58"/>
      <c r="N22" s="48"/>
    </row>
    <row r="23" spans="2:20">
      <c r="B23" s="47" t="s">
        <v>3894</v>
      </c>
      <c r="C23" s="41" t="s">
        <v>2921</v>
      </c>
      <c r="D23" s="83">
        <v>5461047.5899999989</v>
      </c>
      <c r="E23" s="83">
        <v>77933605.697854027</v>
      </c>
      <c r="F23" s="83">
        <v>34247668.30143366</v>
      </c>
      <c r="G23" s="83">
        <v>24398079.899640534</v>
      </c>
      <c r="H23" s="83">
        <v>14090044.055304628</v>
      </c>
      <c r="I23" s="58"/>
      <c r="J23" s="58"/>
      <c r="K23" s="58"/>
      <c r="L23" s="58"/>
      <c r="M23" s="58"/>
      <c r="N23" s="48"/>
    </row>
    <row r="24" spans="2:20">
      <c r="B24" s="47" t="s">
        <v>3895</v>
      </c>
      <c r="C24" s="41" t="s">
        <v>2923</v>
      </c>
      <c r="D24" s="83">
        <v>292038816.88138676</v>
      </c>
      <c r="E24" s="83">
        <v>163992227.42138556</v>
      </c>
      <c r="F24" s="83">
        <v>47842830.953424267</v>
      </c>
      <c r="G24" s="83">
        <v>29052342.628748447</v>
      </c>
      <c r="H24" s="58"/>
      <c r="I24" s="58"/>
      <c r="J24" s="58"/>
      <c r="K24" s="58"/>
      <c r="L24" s="58"/>
      <c r="M24" s="58"/>
      <c r="N24" s="48"/>
    </row>
    <row r="25" spans="2:20">
      <c r="B25" s="47" t="s">
        <v>3896</v>
      </c>
      <c r="C25" s="41" t="s">
        <v>2925</v>
      </c>
      <c r="D25" s="83">
        <v>381547902.77273464</v>
      </c>
      <c r="E25" s="83">
        <v>172051165.54683283</v>
      </c>
      <c r="F25" s="83">
        <v>50505573.825077243</v>
      </c>
      <c r="G25" s="58"/>
      <c r="H25" s="58"/>
      <c r="I25" s="58"/>
      <c r="J25" s="58"/>
      <c r="K25" s="58"/>
      <c r="L25" s="58"/>
      <c r="M25" s="58"/>
      <c r="N25" s="48"/>
    </row>
    <row r="26" spans="2:20">
      <c r="B26" s="47" t="s">
        <v>3897</v>
      </c>
      <c r="C26" s="41" t="s">
        <v>2927</v>
      </c>
      <c r="D26" s="83">
        <v>449004387.88893116</v>
      </c>
      <c r="E26" s="83">
        <v>209279815.90916103</v>
      </c>
      <c r="F26" s="58"/>
      <c r="G26" s="58"/>
      <c r="H26" s="58"/>
      <c r="I26" s="58"/>
      <c r="J26" s="58"/>
      <c r="K26" s="58"/>
      <c r="L26" s="58"/>
      <c r="M26" s="58"/>
      <c r="N26" s="48"/>
    </row>
    <row r="27" spans="2:20">
      <c r="B27" s="47" t="s">
        <v>3898</v>
      </c>
      <c r="C27" s="41" t="s">
        <v>2929</v>
      </c>
      <c r="D27" s="83">
        <v>468911115.94367498</v>
      </c>
      <c r="E27" s="56"/>
      <c r="F27" s="56"/>
      <c r="G27" s="56"/>
      <c r="H27" s="56"/>
      <c r="I27" s="56"/>
      <c r="J27" s="56"/>
      <c r="K27" s="56"/>
      <c r="L27" s="56"/>
      <c r="M27" s="56"/>
      <c r="N27" s="46"/>
    </row>
    <row r="29" spans="2:20">
      <c r="S29" s="13"/>
      <c r="T29" s="13"/>
    </row>
    <row r="31" spans="2:20" ht="18.75">
      <c r="B31" s="88" t="s">
        <v>4143</v>
      </c>
      <c r="C31" s="87"/>
      <c r="D31" s="87"/>
      <c r="E31" s="87"/>
      <c r="F31" s="87"/>
      <c r="G31" s="87"/>
      <c r="H31" s="87"/>
      <c r="I31" s="87"/>
      <c r="J31" s="87"/>
      <c r="K31" s="87"/>
      <c r="L31" s="87"/>
    </row>
    <row r="33" spans="2:20">
      <c r="B33" t="s">
        <v>3110</v>
      </c>
      <c r="S33" s="13"/>
      <c r="T33" s="13"/>
    </row>
    <row r="34" spans="2:20">
      <c r="B34" t="s">
        <v>3111</v>
      </c>
    </row>
    <row r="35" spans="2:20" ht="30">
      <c r="B35" s="40" t="s">
        <v>3868</v>
      </c>
      <c r="C35" s="53" t="s">
        <v>3115</v>
      </c>
      <c r="D35" s="51" t="s">
        <v>2529</v>
      </c>
    </row>
    <row r="36" spans="2:20">
      <c r="S36" s="13"/>
      <c r="T36" s="13"/>
    </row>
    <row r="38" spans="2:20">
      <c r="D38" s="92" t="s">
        <v>2877</v>
      </c>
      <c r="E38" s="94"/>
    </row>
    <row r="39" spans="2:20">
      <c r="D39" s="95"/>
      <c r="E39" s="97"/>
    </row>
    <row r="40" spans="2:20" ht="30">
      <c r="D40" s="55" t="s">
        <v>3949</v>
      </c>
      <c r="E40" s="55" t="s">
        <v>3950</v>
      </c>
    </row>
    <row r="41" spans="2:20">
      <c r="D41" s="45" t="s">
        <v>3594</v>
      </c>
      <c r="E41" s="45" t="s">
        <v>3596</v>
      </c>
      <c r="S41" s="13"/>
      <c r="T41" s="13"/>
    </row>
    <row r="42" spans="2:20">
      <c r="B42" s="43" t="s">
        <v>2880</v>
      </c>
      <c r="C42" s="44" t="s">
        <v>2878</v>
      </c>
      <c r="D42" s="56"/>
      <c r="E42" s="57"/>
    </row>
    <row r="43" spans="2:20">
      <c r="B43" s="47" t="s">
        <v>3947</v>
      </c>
      <c r="C43" s="41" t="s">
        <v>2899</v>
      </c>
      <c r="D43" s="60">
        <v>4534784.3793975953</v>
      </c>
      <c r="E43" s="60">
        <v>13519289.658120617</v>
      </c>
    </row>
    <row r="44" spans="2:20">
      <c r="B44" s="47" t="s">
        <v>3889</v>
      </c>
      <c r="C44" s="41" t="s">
        <v>2911</v>
      </c>
      <c r="D44" s="83">
        <v>979284.31468946452</v>
      </c>
      <c r="E44" s="83">
        <v>7865502.2181500476</v>
      </c>
    </row>
    <row r="45" spans="2:20">
      <c r="B45" s="47" t="s">
        <v>3890</v>
      </c>
      <c r="C45" s="41" t="s">
        <v>2913</v>
      </c>
      <c r="D45" s="83">
        <v>2114142.4266560334</v>
      </c>
      <c r="E45" s="83">
        <v>12172426.47437623</v>
      </c>
    </row>
    <row r="46" spans="2:20">
      <c r="B46" s="47" t="s">
        <v>3891</v>
      </c>
      <c r="C46" s="41" t="s">
        <v>2915</v>
      </c>
      <c r="D46" s="83">
        <v>1517888.2527069293</v>
      </c>
      <c r="E46" s="83">
        <v>21567162.939702552</v>
      </c>
    </row>
    <row r="47" spans="2:20">
      <c r="B47" s="47" t="s">
        <v>3892</v>
      </c>
      <c r="C47" s="41" t="s">
        <v>2917</v>
      </c>
      <c r="D47" s="83">
        <v>3751095.6254342259</v>
      </c>
      <c r="E47" s="83">
        <v>72285713.823337361</v>
      </c>
    </row>
    <row r="48" spans="2:20">
      <c r="B48" s="47" t="s">
        <v>3893</v>
      </c>
      <c r="C48" s="41" t="s">
        <v>2919</v>
      </c>
      <c r="D48" s="83">
        <v>10118149.717039272</v>
      </c>
      <c r="E48" s="83">
        <v>83103659.663718089</v>
      </c>
    </row>
    <row r="49" spans="2:20">
      <c r="B49" s="47" t="s">
        <v>3894</v>
      </c>
      <c r="C49" s="41" t="s">
        <v>2921</v>
      </c>
      <c r="D49" s="83">
        <v>14090044.055304628</v>
      </c>
      <c r="E49" s="83">
        <v>156130445.54423285</v>
      </c>
    </row>
    <row r="50" spans="2:20">
      <c r="B50" s="47" t="s">
        <v>3895</v>
      </c>
      <c r="C50" s="41" t="s">
        <v>2923</v>
      </c>
      <c r="D50" s="83">
        <v>29052342.628748447</v>
      </c>
      <c r="E50" s="83">
        <v>532926217.88494492</v>
      </c>
    </row>
    <row r="51" spans="2:20">
      <c r="B51" s="47" t="s">
        <v>3896</v>
      </c>
      <c r="C51" s="41" t="s">
        <v>2925</v>
      </c>
      <c r="D51" s="83">
        <v>50505573.825077243</v>
      </c>
      <c r="E51" s="83">
        <v>604104642.14464486</v>
      </c>
    </row>
    <row r="52" spans="2:20">
      <c r="B52" s="47" t="s">
        <v>3897</v>
      </c>
      <c r="C52" s="41" t="s">
        <v>2927</v>
      </c>
      <c r="D52" s="83">
        <v>209279815.90916103</v>
      </c>
      <c r="E52" s="83">
        <v>658284203.79809213</v>
      </c>
    </row>
    <row r="53" spans="2:20">
      <c r="B53" s="47" t="s">
        <v>3898</v>
      </c>
      <c r="C53" s="41" t="s">
        <v>2929</v>
      </c>
      <c r="D53" s="83">
        <v>468911115.94367498</v>
      </c>
      <c r="E53" s="83">
        <v>468911115.94367498</v>
      </c>
    </row>
    <row r="54" spans="2:20">
      <c r="B54" s="47" t="s">
        <v>3480</v>
      </c>
      <c r="C54" s="41" t="s">
        <v>2931</v>
      </c>
      <c r="D54" s="83">
        <v>794854237.07788992</v>
      </c>
      <c r="E54" s="83">
        <v>2630870380.0929947</v>
      </c>
    </row>
    <row r="56" spans="2:20">
      <c r="S56" s="13"/>
      <c r="T56" s="13"/>
    </row>
    <row r="58" spans="2:20" ht="18.75">
      <c r="B58" s="88" t="s">
        <v>4144</v>
      </c>
      <c r="C58" s="87"/>
      <c r="D58" s="87"/>
      <c r="E58" s="87"/>
      <c r="F58" s="87"/>
      <c r="G58" s="87"/>
      <c r="H58" s="87"/>
      <c r="I58" s="87"/>
      <c r="J58" s="87"/>
      <c r="K58" s="87"/>
      <c r="L58" s="87"/>
    </row>
    <row r="60" spans="2:20">
      <c r="B60" t="s">
        <v>3110</v>
      </c>
      <c r="S60" s="13"/>
      <c r="T60" s="13"/>
    </row>
    <row r="61" spans="2:20">
      <c r="B61" t="s">
        <v>3111</v>
      </c>
    </row>
    <row r="62" spans="2:20" ht="30">
      <c r="B62" s="40" t="s">
        <v>3868</v>
      </c>
      <c r="C62" s="53" t="s">
        <v>3115</v>
      </c>
      <c r="D62" s="51" t="s">
        <v>2529</v>
      </c>
    </row>
    <row r="63" spans="2:20">
      <c r="S63" s="13"/>
      <c r="T63" s="13"/>
    </row>
    <row r="65" spans="2:20">
      <c r="D65" s="92" t="s">
        <v>2877</v>
      </c>
      <c r="E65" s="93"/>
      <c r="F65" s="93"/>
      <c r="G65" s="93"/>
      <c r="H65" s="93"/>
      <c r="I65" s="93"/>
      <c r="J65" s="93"/>
      <c r="K65" s="93"/>
      <c r="L65" s="93"/>
      <c r="M65" s="93"/>
      <c r="N65" s="94"/>
    </row>
    <row r="66" spans="2:20">
      <c r="D66" s="95"/>
      <c r="E66" s="96"/>
      <c r="F66" s="96"/>
      <c r="G66" s="96"/>
      <c r="H66" s="96"/>
      <c r="I66" s="96"/>
      <c r="J66" s="96"/>
      <c r="K66" s="96"/>
      <c r="L66" s="96"/>
      <c r="M66" s="96"/>
      <c r="N66" s="97"/>
    </row>
    <row r="67" spans="2:20">
      <c r="D67" s="55">
        <v>0</v>
      </c>
      <c r="E67" s="55">
        <v>1</v>
      </c>
      <c r="F67" s="55">
        <v>2</v>
      </c>
      <c r="G67" s="55">
        <v>3</v>
      </c>
      <c r="H67" s="55">
        <v>4</v>
      </c>
      <c r="I67" s="55">
        <v>5</v>
      </c>
      <c r="J67" s="55">
        <v>6</v>
      </c>
      <c r="K67" s="55">
        <v>7</v>
      </c>
      <c r="L67" s="55">
        <v>8</v>
      </c>
      <c r="M67" s="55">
        <v>9</v>
      </c>
      <c r="N67" s="55" t="s">
        <v>4142</v>
      </c>
    </row>
    <row r="68" spans="2:20">
      <c r="D68" s="45" t="s">
        <v>3481</v>
      </c>
      <c r="E68" s="45" t="s">
        <v>3508</v>
      </c>
      <c r="F68" s="45" t="s">
        <v>3509</v>
      </c>
      <c r="G68" s="45" t="s">
        <v>3511</v>
      </c>
      <c r="H68" s="45" t="s">
        <v>3513</v>
      </c>
      <c r="I68" s="45" t="s">
        <v>3514</v>
      </c>
      <c r="J68" s="45" t="s">
        <v>3515</v>
      </c>
      <c r="K68" s="45" t="s">
        <v>3517</v>
      </c>
      <c r="L68" s="45" t="s">
        <v>3518</v>
      </c>
      <c r="M68" s="45" t="s">
        <v>3608</v>
      </c>
      <c r="N68" s="45" t="s">
        <v>3519</v>
      </c>
      <c r="S68" s="13"/>
      <c r="T68" s="13"/>
    </row>
    <row r="69" spans="2:20">
      <c r="B69" s="43" t="s">
        <v>2880</v>
      </c>
      <c r="C69" s="44" t="s">
        <v>2878</v>
      </c>
      <c r="D69" s="58"/>
      <c r="E69" s="67"/>
      <c r="F69" s="67"/>
      <c r="G69" s="67"/>
      <c r="H69" s="67"/>
      <c r="I69" s="67"/>
      <c r="J69" s="67"/>
      <c r="K69" s="67"/>
      <c r="L69" s="67"/>
      <c r="M69" s="67"/>
      <c r="N69" s="57"/>
    </row>
    <row r="70" spans="2:20">
      <c r="B70" s="47" t="s">
        <v>3947</v>
      </c>
      <c r="C70" s="44" t="s">
        <v>2899</v>
      </c>
      <c r="D70" s="56"/>
      <c r="E70" s="56"/>
      <c r="F70" s="56"/>
      <c r="G70" s="56"/>
      <c r="H70" s="56"/>
      <c r="I70" s="56"/>
      <c r="J70" s="56"/>
      <c r="K70" s="56"/>
      <c r="L70" s="56"/>
      <c r="M70" s="46"/>
      <c r="N70" s="60">
        <v>20797941.495409891</v>
      </c>
    </row>
    <row r="71" spans="2:20">
      <c r="B71" s="47" t="s">
        <v>3889</v>
      </c>
      <c r="C71" s="41" t="s">
        <v>2911</v>
      </c>
      <c r="D71" s="60">
        <v>0</v>
      </c>
      <c r="E71" s="60">
        <v>0</v>
      </c>
      <c r="F71" s="60">
        <v>0</v>
      </c>
      <c r="G71" s="60">
        <v>0</v>
      </c>
      <c r="H71" s="60">
        <v>0</v>
      </c>
      <c r="I71" s="60">
        <v>0</v>
      </c>
      <c r="J71" s="60">
        <v>5468933.2923492603</v>
      </c>
      <c r="K71" s="60">
        <v>4897252.6672578882</v>
      </c>
      <c r="L71" s="60">
        <v>5684521.0076384814</v>
      </c>
      <c r="M71" s="60">
        <v>617905.76488891081</v>
      </c>
      <c r="N71" s="48"/>
    </row>
    <row r="72" spans="2:20">
      <c r="B72" s="47" t="s">
        <v>3890</v>
      </c>
      <c r="C72" s="41" t="s">
        <v>2913</v>
      </c>
      <c r="D72" s="60">
        <v>0</v>
      </c>
      <c r="E72" s="60">
        <v>0</v>
      </c>
      <c r="F72" s="60">
        <v>0</v>
      </c>
      <c r="G72" s="60">
        <v>0</v>
      </c>
      <c r="H72" s="60">
        <v>0</v>
      </c>
      <c r="I72" s="60">
        <v>15673183.598219788</v>
      </c>
      <c r="J72" s="60">
        <v>11825493.138491217</v>
      </c>
      <c r="K72" s="60">
        <v>8874907.7946193945</v>
      </c>
      <c r="L72" s="60">
        <v>3604879.1853970797</v>
      </c>
      <c r="M72" s="58"/>
      <c r="N72" s="48"/>
    </row>
    <row r="73" spans="2:20">
      <c r="B73" s="47" t="s">
        <v>3891</v>
      </c>
      <c r="C73" s="41" t="s">
        <v>2915</v>
      </c>
      <c r="D73" s="60">
        <v>3240073.3697671788</v>
      </c>
      <c r="E73" s="60">
        <v>1912909.7047548052</v>
      </c>
      <c r="F73" s="60">
        <v>1877324.9529117327</v>
      </c>
      <c r="G73" s="60">
        <v>1882783.8018440015</v>
      </c>
      <c r="H73" s="60">
        <v>26607939.208073143</v>
      </c>
      <c r="I73" s="60">
        <v>14270787.973229725</v>
      </c>
      <c r="J73" s="60">
        <v>11722077.55193031</v>
      </c>
      <c r="K73" s="60">
        <v>17807751.372030888</v>
      </c>
      <c r="L73" s="58"/>
      <c r="M73" s="58"/>
      <c r="N73" s="48"/>
    </row>
    <row r="74" spans="2:20">
      <c r="B74" s="47" t="s">
        <v>3892</v>
      </c>
      <c r="C74" s="41" t="s">
        <v>2917</v>
      </c>
      <c r="D74" s="60">
        <v>30221040.617975365</v>
      </c>
      <c r="E74" s="60">
        <v>7099113.1097315876</v>
      </c>
      <c r="F74" s="60">
        <v>5007652.839270547</v>
      </c>
      <c r="G74" s="60">
        <v>56475517.159411669</v>
      </c>
      <c r="H74" s="60">
        <v>35975874.591740467</v>
      </c>
      <c r="I74" s="60">
        <v>31063755.985068012</v>
      </c>
      <c r="J74" s="60">
        <v>16805978.091668401</v>
      </c>
      <c r="K74" s="58"/>
      <c r="L74" s="58"/>
      <c r="M74" s="58"/>
      <c r="N74" s="48"/>
    </row>
    <row r="75" spans="2:20">
      <c r="B75" s="47" t="s">
        <v>3893</v>
      </c>
      <c r="C75" s="41" t="s">
        <v>2919</v>
      </c>
      <c r="D75" s="60">
        <v>9631964.4162121285</v>
      </c>
      <c r="E75" s="60">
        <v>7227000.2120036948</v>
      </c>
      <c r="F75" s="60">
        <v>98193077.572327763</v>
      </c>
      <c r="G75" s="60">
        <v>64657331.047064632</v>
      </c>
      <c r="H75" s="60">
        <v>53370435.478229411</v>
      </c>
      <c r="I75" s="60">
        <v>17054467.91699909</v>
      </c>
      <c r="J75" s="58"/>
      <c r="K75" s="58"/>
      <c r="L75" s="58"/>
      <c r="M75" s="58"/>
      <c r="N75" s="48"/>
    </row>
    <row r="76" spans="2:20">
      <c r="B76" s="47" t="s">
        <v>3894</v>
      </c>
      <c r="C76" s="41" t="s">
        <v>2921</v>
      </c>
      <c r="D76" s="60">
        <v>12196540.874547135</v>
      </c>
      <c r="E76" s="60">
        <v>167527580.69385016</v>
      </c>
      <c r="F76" s="60">
        <v>94767556.505101532</v>
      </c>
      <c r="G76" s="60">
        <v>81951536.027034119</v>
      </c>
      <c r="H76" s="60">
        <v>30176434.437863212</v>
      </c>
      <c r="I76" s="58"/>
      <c r="J76" s="58"/>
      <c r="K76" s="58"/>
      <c r="L76" s="58"/>
      <c r="M76" s="58"/>
      <c r="N76" s="48"/>
    </row>
    <row r="77" spans="2:20">
      <c r="B77" s="47" t="s">
        <v>3895</v>
      </c>
      <c r="C77" s="41" t="s">
        <v>2923</v>
      </c>
      <c r="D77" s="60">
        <v>393598174.64339811</v>
      </c>
      <c r="E77" s="60">
        <v>226665143.54645464</v>
      </c>
      <c r="F77" s="60">
        <v>190598716.40202188</v>
      </c>
      <c r="G77" s="60">
        <v>138018953.93471566</v>
      </c>
      <c r="H77" s="58"/>
      <c r="I77" s="58"/>
      <c r="J77" s="58"/>
      <c r="K77" s="58"/>
      <c r="L77" s="58"/>
      <c r="M77" s="58"/>
      <c r="N77" s="48"/>
    </row>
    <row r="78" spans="2:20">
      <c r="B78" s="47" t="s">
        <v>3896</v>
      </c>
      <c r="C78" s="41" t="s">
        <v>2925</v>
      </c>
      <c r="D78" s="60">
        <v>424159444.17109382</v>
      </c>
      <c r="E78" s="60">
        <v>244784641.26893774</v>
      </c>
      <c r="F78" s="60">
        <v>165381021.93822381</v>
      </c>
      <c r="G78" s="58"/>
      <c r="H78" s="58"/>
      <c r="I78" s="58"/>
      <c r="J78" s="58"/>
      <c r="K78" s="58"/>
      <c r="L78" s="58"/>
      <c r="M78" s="58"/>
      <c r="N78" s="48"/>
    </row>
    <row r="79" spans="2:20">
      <c r="B79" s="47" t="s">
        <v>3897</v>
      </c>
      <c r="C79" s="41" t="s">
        <v>2927</v>
      </c>
      <c r="D79" s="60">
        <v>511345542.56703568</v>
      </c>
      <c r="E79" s="60">
        <v>235993262.08564594</v>
      </c>
      <c r="F79" s="58"/>
      <c r="G79" s="58"/>
      <c r="H79" s="58"/>
      <c r="I79" s="58"/>
      <c r="J79" s="58"/>
      <c r="K79" s="58"/>
      <c r="L79" s="58"/>
      <c r="M79" s="58"/>
      <c r="N79" s="48"/>
    </row>
    <row r="80" spans="2:20">
      <c r="B80" s="47" t="s">
        <v>3898</v>
      </c>
      <c r="C80" s="41" t="s">
        <v>2929</v>
      </c>
      <c r="D80" s="60">
        <v>553172405.54437149</v>
      </c>
      <c r="E80" s="56"/>
      <c r="F80" s="56"/>
      <c r="G80" s="56"/>
      <c r="H80" s="56"/>
      <c r="I80" s="56"/>
      <c r="J80" s="56"/>
      <c r="K80" s="56"/>
      <c r="L80" s="56"/>
      <c r="M80" s="56"/>
      <c r="N80" s="46"/>
    </row>
    <row r="82" spans="2:20">
      <c r="S82" s="13"/>
      <c r="T82" s="13"/>
    </row>
    <row r="84" spans="2:20" ht="18.75">
      <c r="B84" s="88" t="s">
        <v>4145</v>
      </c>
      <c r="C84" s="87"/>
      <c r="D84" s="87"/>
      <c r="E84" s="87"/>
      <c r="F84" s="87"/>
      <c r="G84" s="87"/>
      <c r="H84" s="87"/>
      <c r="I84" s="87"/>
      <c r="J84" s="87"/>
      <c r="K84" s="87"/>
      <c r="L84" s="87"/>
    </row>
    <row r="86" spans="2:20">
      <c r="B86" t="s">
        <v>3110</v>
      </c>
      <c r="S86" s="13"/>
      <c r="T86" s="13"/>
    </row>
    <row r="87" spans="2:20">
      <c r="B87" t="s">
        <v>3111</v>
      </c>
    </row>
    <row r="88" spans="2:20" ht="30">
      <c r="B88" s="40" t="s">
        <v>3868</v>
      </c>
      <c r="C88" s="53" t="s">
        <v>3115</v>
      </c>
      <c r="D88" s="51" t="s">
        <v>2529</v>
      </c>
    </row>
    <row r="89" spans="2:20">
      <c r="S89" s="13"/>
      <c r="T89" s="13"/>
    </row>
    <row r="91" spans="2:20">
      <c r="D91" s="89" t="s">
        <v>2877</v>
      </c>
    </row>
    <row r="92" spans="2:20">
      <c r="D92" s="91"/>
    </row>
    <row r="93" spans="2:20" ht="45">
      <c r="D93" s="55" t="s">
        <v>3953</v>
      </c>
    </row>
    <row r="94" spans="2:20">
      <c r="D94" s="45" t="s">
        <v>3622</v>
      </c>
      <c r="S94" s="13"/>
      <c r="T94" s="13"/>
    </row>
    <row r="95" spans="2:20">
      <c r="B95" s="43" t="s">
        <v>2880</v>
      </c>
      <c r="C95" s="44" t="s">
        <v>2878</v>
      </c>
      <c r="D95" s="46"/>
    </row>
    <row r="96" spans="2:20">
      <c r="B96" s="47" t="s">
        <v>3947</v>
      </c>
      <c r="C96" s="41" t="s">
        <v>2899</v>
      </c>
      <c r="D96" s="60">
        <v>19191427.170459751</v>
      </c>
    </row>
    <row r="97" spans="2:20">
      <c r="B97" s="47" t="s">
        <v>3889</v>
      </c>
      <c r="C97" s="41" t="s">
        <v>2911</v>
      </c>
      <c r="D97" s="60">
        <v>488369.69923407747</v>
      </c>
    </row>
    <row r="98" spans="2:20">
      <c r="B98" s="47" t="s">
        <v>3890</v>
      </c>
      <c r="C98" s="41" t="s">
        <v>2913</v>
      </c>
      <c r="D98" s="60">
        <v>3090135.3518472221</v>
      </c>
    </row>
    <row r="99" spans="2:20">
      <c r="B99" s="47" t="s">
        <v>3891</v>
      </c>
      <c r="C99" s="41" t="s">
        <v>2915</v>
      </c>
      <c r="D99" s="60">
        <v>16525039.387600774</v>
      </c>
    </row>
    <row r="100" spans="2:20">
      <c r="B100" s="47" t="s">
        <v>3892</v>
      </c>
      <c r="C100" s="41" t="s">
        <v>2917</v>
      </c>
      <c r="D100" s="60">
        <v>14423112.83759265</v>
      </c>
    </row>
    <row r="101" spans="2:20">
      <c r="B101" s="47" t="s">
        <v>3893</v>
      </c>
      <c r="C101" s="41" t="s">
        <v>2919</v>
      </c>
      <c r="D101" s="60">
        <v>14314850.191934515</v>
      </c>
    </row>
    <row r="102" spans="2:20">
      <c r="B102" s="47" t="s">
        <v>3894</v>
      </c>
      <c r="C102" s="41" t="s">
        <v>2921</v>
      </c>
      <c r="D102" s="60">
        <v>26539223.404535484</v>
      </c>
    </row>
    <row r="103" spans="2:20">
      <c r="B103" s="47" t="s">
        <v>3895</v>
      </c>
      <c r="C103" s="41" t="s">
        <v>2923</v>
      </c>
      <c r="D103" s="60">
        <v>112247011.90566854</v>
      </c>
    </row>
    <row r="104" spans="2:20">
      <c r="B104" s="47" t="s">
        <v>3896</v>
      </c>
      <c r="C104" s="41" t="s">
        <v>2925</v>
      </c>
      <c r="D104" s="60">
        <v>134358119.38199806</v>
      </c>
    </row>
    <row r="105" spans="2:20">
      <c r="B105" s="47" t="s">
        <v>3897</v>
      </c>
      <c r="C105" s="41" t="s">
        <v>2927</v>
      </c>
      <c r="D105" s="60">
        <v>201576176.66186899</v>
      </c>
    </row>
    <row r="106" spans="2:20">
      <c r="B106" s="47" t="s">
        <v>3898</v>
      </c>
      <c r="C106" s="41" t="s">
        <v>2929</v>
      </c>
      <c r="D106" s="60">
        <v>508838591.19035316</v>
      </c>
    </row>
    <row r="107" spans="2:20">
      <c r="B107" s="47" t="s">
        <v>3480</v>
      </c>
      <c r="C107" s="41" t="s">
        <v>2931</v>
      </c>
      <c r="D107" s="60">
        <v>1051592057.1830932</v>
      </c>
    </row>
    <row r="109" spans="2:20">
      <c r="S109" s="13"/>
      <c r="T109" s="13"/>
    </row>
  </sheetData>
  <mergeCells count="9">
    <mergeCell ref="D65:N66"/>
    <mergeCell ref="B84:L84"/>
    <mergeCell ref="D91:D92"/>
    <mergeCell ref="B2:O2"/>
    <mergeCell ref="B5:L5"/>
    <mergeCell ref="D12:N13"/>
    <mergeCell ref="B31:L31"/>
    <mergeCell ref="D38:E39"/>
    <mergeCell ref="B58:L58"/>
  </mergeCells>
  <dataValidations disablePrompts="1" count="1">
    <dataValidation type="list" errorStyle="warning" allowBlank="1" showInputMessage="1" showErrorMessage="1" sqref="D9 D35 D62 D88" xr:uid="{9EFBE74A-1830-40F4-9345-3CB0FB56754D}">
      <formula1>hier_AM_8</formula1>
    </dataValidation>
  </dataValidation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ECB12-2A6B-47EF-8F24-6BA25470EE64}">
  <sheetPr codeName="Blad93"/>
  <dimension ref="B2:AP40"/>
  <sheetViews>
    <sheetView showGridLines="0" workbookViewId="0"/>
  </sheetViews>
  <sheetFormatPr defaultRowHeight="15"/>
  <cols>
    <col min="2" max="2" width="30.85546875" bestFit="1" customWidth="1"/>
    <col min="4" max="23" width="15.7109375" customWidth="1"/>
  </cols>
  <sheetData>
    <row r="2" spans="2:42" ht="23.25">
      <c r="B2" s="86" t="s">
        <v>645</v>
      </c>
      <c r="C2" s="87"/>
      <c r="D2" s="87"/>
      <c r="E2" s="87"/>
      <c r="F2" s="87"/>
      <c r="G2" s="87"/>
      <c r="H2" s="87"/>
      <c r="I2" s="87"/>
      <c r="J2" s="87"/>
      <c r="K2" s="87"/>
      <c r="L2" s="87"/>
      <c r="M2" s="87"/>
      <c r="N2" s="87"/>
      <c r="O2" s="87"/>
    </row>
    <row r="5" spans="2:42" ht="18.75">
      <c r="B5" s="88" t="s">
        <v>4146</v>
      </c>
      <c r="C5" s="87"/>
      <c r="D5" s="87"/>
      <c r="E5" s="87"/>
      <c r="F5" s="87"/>
      <c r="G5" s="87"/>
      <c r="H5" s="87"/>
      <c r="I5" s="87"/>
      <c r="J5" s="87"/>
      <c r="K5" s="87"/>
      <c r="L5" s="87"/>
    </row>
    <row r="7" spans="2:42">
      <c r="B7" t="s">
        <v>3110</v>
      </c>
      <c r="AO7" s="13" t="str">
        <f>Show!$B$89&amp;"S.20.01.01.01 Table label {"&amp;COLUMN($C$1)&amp;"}"</f>
        <v>!S.20.01.01.01 Table label {3}</v>
      </c>
      <c r="AP7" s="13" t="str">
        <f>Show!$B$89&amp;"S.20.01.01.01 Table value {"&amp;COLUMN($D$1)&amp;"}"</f>
        <v>!S.20.01.01.01 Table value {4}</v>
      </c>
    </row>
    <row r="8" spans="2:42">
      <c r="B8" t="s">
        <v>3111</v>
      </c>
    </row>
    <row r="9" spans="2:42">
      <c r="B9" s="40" t="s">
        <v>4147</v>
      </c>
      <c r="C9" s="53" t="s">
        <v>3113</v>
      </c>
      <c r="D9" s="51"/>
    </row>
    <row r="10" spans="2:42">
      <c r="B10" s="40" t="s">
        <v>4148</v>
      </c>
      <c r="C10" s="53" t="s">
        <v>3115</v>
      </c>
      <c r="D10" s="51"/>
    </row>
    <row r="11" spans="2:42">
      <c r="AO11" s="13" t="str">
        <f>Show!$B$89&amp;Show!$B$89&amp;"S.20.01.01.01 Table label {"&amp;COLUMN($C$1)&amp;"}"</f>
        <v>!!S.20.01.01.01 Table label {3}</v>
      </c>
      <c r="AP11" s="13" t="str">
        <f>Show!$B$89&amp;Show!$B$89&amp;"S.20.01.01.01 Table value {"&amp;COLUMN($D$1)&amp;"}"</f>
        <v>!!S.20.01.01.01 Table value {4}</v>
      </c>
    </row>
    <row r="13" spans="2:42">
      <c r="D13" s="92" t="s">
        <v>2877</v>
      </c>
      <c r="E13" s="93"/>
      <c r="F13" s="93"/>
      <c r="G13" s="93"/>
      <c r="H13" s="93"/>
      <c r="I13" s="93"/>
      <c r="J13" s="93"/>
      <c r="K13" s="93"/>
      <c r="L13" s="93"/>
      <c r="M13" s="93"/>
      <c r="N13" s="93"/>
      <c r="O13" s="93"/>
      <c r="P13" s="93"/>
      <c r="Q13" s="93"/>
      <c r="R13" s="93"/>
      <c r="S13" s="93"/>
      <c r="T13" s="93"/>
      <c r="U13" s="93"/>
      <c r="V13" s="93"/>
      <c r="W13" s="94"/>
    </row>
    <row r="14" spans="2:42">
      <c r="D14" s="95"/>
      <c r="E14" s="96"/>
      <c r="F14" s="96"/>
      <c r="G14" s="96"/>
      <c r="H14" s="96"/>
      <c r="I14" s="96"/>
      <c r="J14" s="96"/>
      <c r="K14" s="96"/>
      <c r="L14" s="96"/>
      <c r="M14" s="96"/>
      <c r="N14" s="96"/>
      <c r="O14" s="96"/>
      <c r="P14" s="96"/>
      <c r="Q14" s="96"/>
      <c r="R14" s="96"/>
      <c r="S14" s="96"/>
      <c r="T14" s="96"/>
      <c r="U14" s="96"/>
      <c r="V14" s="96"/>
      <c r="W14" s="97"/>
    </row>
    <row r="15" spans="2:42">
      <c r="D15" s="98" t="s">
        <v>4149</v>
      </c>
      <c r="E15" s="100"/>
      <c r="F15" s="100"/>
      <c r="G15" s="100"/>
      <c r="H15" s="100"/>
      <c r="I15" s="100"/>
      <c r="J15" s="100"/>
      <c r="K15" s="100"/>
      <c r="L15" s="99"/>
      <c r="M15" s="98" t="s">
        <v>4161</v>
      </c>
      <c r="N15" s="100"/>
      <c r="O15" s="100"/>
      <c r="P15" s="100"/>
      <c r="Q15" s="100"/>
      <c r="R15" s="99"/>
      <c r="S15" s="98" t="s">
        <v>4162</v>
      </c>
      <c r="T15" s="100"/>
      <c r="U15" s="100"/>
      <c r="V15" s="100"/>
      <c r="W15" s="99"/>
    </row>
    <row r="16" spans="2:42">
      <c r="D16" s="98" t="s">
        <v>4150</v>
      </c>
      <c r="E16" s="100"/>
      <c r="F16" s="100"/>
      <c r="G16" s="99"/>
      <c r="H16" s="98" t="s">
        <v>4155</v>
      </c>
      <c r="I16" s="100"/>
      <c r="J16" s="100"/>
      <c r="K16" s="100"/>
      <c r="L16" s="99"/>
      <c r="M16" s="98" t="s">
        <v>4150</v>
      </c>
      <c r="N16" s="100"/>
      <c r="O16" s="99"/>
      <c r="P16" s="98" t="s">
        <v>4155</v>
      </c>
      <c r="Q16" s="100"/>
      <c r="R16" s="99"/>
      <c r="S16" s="98" t="s">
        <v>4150</v>
      </c>
      <c r="T16" s="100"/>
      <c r="U16" s="99"/>
      <c r="V16" s="98" t="s">
        <v>4155</v>
      </c>
      <c r="W16" s="99"/>
    </row>
    <row r="17" spans="2:42" ht="30">
      <c r="D17" s="89" t="s">
        <v>4151</v>
      </c>
      <c r="E17" s="89" t="s">
        <v>4152</v>
      </c>
      <c r="F17" s="89" t="s">
        <v>4153</v>
      </c>
      <c r="G17" s="89" t="s">
        <v>4154</v>
      </c>
      <c r="H17" s="98" t="s">
        <v>4156</v>
      </c>
      <c r="I17" s="100"/>
      <c r="J17" s="99"/>
      <c r="K17" s="98" t="s">
        <v>4158</v>
      </c>
      <c r="L17" s="99"/>
      <c r="M17" s="89" t="s">
        <v>4151</v>
      </c>
      <c r="N17" s="89" t="s">
        <v>4153</v>
      </c>
      <c r="O17" s="89" t="s">
        <v>4154</v>
      </c>
      <c r="P17" s="98" t="s">
        <v>4156</v>
      </c>
      <c r="Q17" s="99"/>
      <c r="R17" s="55" t="s">
        <v>4158</v>
      </c>
      <c r="S17" s="89" t="s">
        <v>4151</v>
      </c>
      <c r="T17" s="89" t="s">
        <v>4153</v>
      </c>
      <c r="U17" s="89" t="s">
        <v>4154</v>
      </c>
      <c r="V17" s="89" t="s">
        <v>4157</v>
      </c>
      <c r="W17" s="89" t="s">
        <v>4153</v>
      </c>
    </row>
    <row r="18" spans="2:42" ht="105">
      <c r="D18" s="91"/>
      <c r="E18" s="91"/>
      <c r="F18" s="91"/>
      <c r="G18" s="91"/>
      <c r="H18" s="55" t="s">
        <v>4157</v>
      </c>
      <c r="I18" s="55" t="s">
        <v>4152</v>
      </c>
      <c r="J18" s="55" t="s">
        <v>4153</v>
      </c>
      <c r="K18" s="55" t="s">
        <v>4159</v>
      </c>
      <c r="L18" s="55" t="s">
        <v>4160</v>
      </c>
      <c r="M18" s="91"/>
      <c r="N18" s="91"/>
      <c r="O18" s="91"/>
      <c r="P18" s="55" t="s">
        <v>4157</v>
      </c>
      <c r="Q18" s="55" t="s">
        <v>4153</v>
      </c>
      <c r="R18" s="55" t="s">
        <v>4159</v>
      </c>
      <c r="S18" s="91"/>
      <c r="T18" s="91"/>
      <c r="U18" s="91"/>
      <c r="V18" s="91"/>
      <c r="W18" s="91"/>
    </row>
    <row r="19" spans="2:42">
      <c r="D19" s="45" t="s">
        <v>3219</v>
      </c>
      <c r="E19" s="45" t="s">
        <v>3225</v>
      </c>
      <c r="F19" s="45" t="s">
        <v>3223</v>
      </c>
      <c r="G19" s="45" t="s">
        <v>3229</v>
      </c>
      <c r="H19" s="45" t="s">
        <v>3231</v>
      </c>
      <c r="I19" s="45" t="s">
        <v>3233</v>
      </c>
      <c r="J19" s="45" t="s">
        <v>3234</v>
      </c>
      <c r="K19" s="45" t="s">
        <v>3236</v>
      </c>
      <c r="L19" s="45" t="s">
        <v>3239</v>
      </c>
      <c r="M19" s="45" t="s">
        <v>3241</v>
      </c>
      <c r="N19" s="45" t="s">
        <v>3243</v>
      </c>
      <c r="O19" s="45" t="s">
        <v>3375</v>
      </c>
      <c r="P19" s="45" t="s">
        <v>3475</v>
      </c>
      <c r="Q19" s="45" t="s">
        <v>3477</v>
      </c>
      <c r="R19" s="45" t="s">
        <v>3479</v>
      </c>
      <c r="S19" s="45" t="s">
        <v>3594</v>
      </c>
      <c r="T19" s="45" t="s">
        <v>3596</v>
      </c>
      <c r="U19" s="45" t="s">
        <v>3599</v>
      </c>
      <c r="V19" s="45" t="s">
        <v>3481</v>
      </c>
      <c r="W19" s="45" t="s">
        <v>3508</v>
      </c>
      <c r="AO19" s="13" t="str">
        <f>Show!$B$89&amp;"S.20.01.01.01 Rows {"&amp;COLUMN($C$1)&amp;"}"&amp;"@ForceFilingCode:true"</f>
        <v>!S.20.01.01.01 Rows {3}@ForceFilingCode:true</v>
      </c>
      <c r="AP19" s="13" t="str">
        <f>Show!$B$89&amp;"S.20.01.01.01 Columns {"&amp;COLUMN($D$1)&amp;"}"</f>
        <v>!S.20.01.01.01 Columns {4}</v>
      </c>
    </row>
    <row r="20" spans="2:42">
      <c r="B20" s="43" t="s">
        <v>2880</v>
      </c>
      <c r="C20" s="44" t="s">
        <v>2878</v>
      </c>
      <c r="D20" s="56"/>
      <c r="E20" s="66"/>
      <c r="F20" s="66"/>
      <c r="G20" s="66"/>
      <c r="H20" s="66"/>
      <c r="I20" s="66"/>
      <c r="J20" s="66"/>
      <c r="K20" s="66"/>
      <c r="L20" s="66"/>
      <c r="M20" s="66"/>
      <c r="N20" s="66"/>
      <c r="O20" s="66"/>
      <c r="P20" s="66"/>
      <c r="Q20" s="66"/>
      <c r="R20" s="66"/>
      <c r="S20" s="66"/>
      <c r="T20" s="66"/>
      <c r="U20" s="66"/>
      <c r="V20" s="66"/>
      <c r="W20" s="57"/>
    </row>
    <row r="21" spans="2:42">
      <c r="B21" s="47" t="s">
        <v>3947</v>
      </c>
      <c r="C21" s="41" t="s">
        <v>2883</v>
      </c>
      <c r="D21" s="50"/>
      <c r="E21" s="60"/>
      <c r="F21" s="60"/>
      <c r="G21" s="60"/>
      <c r="H21" s="50"/>
      <c r="I21" s="60"/>
      <c r="J21" s="60"/>
      <c r="K21" s="50"/>
      <c r="L21" s="60"/>
      <c r="M21" s="50"/>
      <c r="N21" s="60"/>
      <c r="O21" s="60"/>
      <c r="P21" s="50"/>
      <c r="Q21" s="60"/>
      <c r="R21" s="50"/>
      <c r="S21" s="50"/>
      <c r="T21" s="60"/>
      <c r="U21" s="60"/>
      <c r="V21" s="50"/>
      <c r="W21" s="60"/>
    </row>
    <row r="22" spans="2:42">
      <c r="B22" s="47" t="s">
        <v>3884</v>
      </c>
      <c r="C22" s="41" t="s">
        <v>2885</v>
      </c>
      <c r="D22" s="50"/>
      <c r="E22" s="60"/>
      <c r="F22" s="60"/>
      <c r="G22" s="60"/>
      <c r="H22" s="50"/>
      <c r="I22" s="60"/>
      <c r="J22" s="60"/>
      <c r="K22" s="50"/>
      <c r="L22" s="60"/>
      <c r="M22" s="50"/>
      <c r="N22" s="60"/>
      <c r="O22" s="60"/>
      <c r="P22" s="50"/>
      <c r="Q22" s="60"/>
      <c r="R22" s="50"/>
      <c r="S22" s="50"/>
      <c r="T22" s="60"/>
      <c r="U22" s="60"/>
      <c r="V22" s="50"/>
      <c r="W22" s="60"/>
    </row>
    <row r="23" spans="2:42">
      <c r="B23" s="47" t="s">
        <v>3885</v>
      </c>
      <c r="C23" s="41" t="s">
        <v>2887</v>
      </c>
      <c r="D23" s="50"/>
      <c r="E23" s="60"/>
      <c r="F23" s="60"/>
      <c r="G23" s="60"/>
      <c r="H23" s="50"/>
      <c r="I23" s="60"/>
      <c r="J23" s="60"/>
      <c r="K23" s="50"/>
      <c r="L23" s="60"/>
      <c r="M23" s="50"/>
      <c r="N23" s="60"/>
      <c r="O23" s="60"/>
      <c r="P23" s="50"/>
      <c r="Q23" s="60"/>
      <c r="R23" s="50"/>
      <c r="S23" s="50"/>
      <c r="T23" s="60"/>
      <c r="U23" s="60"/>
      <c r="V23" s="50"/>
      <c r="W23" s="60"/>
    </row>
    <row r="24" spans="2:42">
      <c r="B24" s="47" t="s">
        <v>3886</v>
      </c>
      <c r="C24" s="41" t="s">
        <v>2889</v>
      </c>
      <c r="D24" s="50"/>
      <c r="E24" s="60"/>
      <c r="F24" s="60"/>
      <c r="G24" s="60"/>
      <c r="H24" s="50"/>
      <c r="I24" s="60"/>
      <c r="J24" s="60"/>
      <c r="K24" s="50"/>
      <c r="L24" s="60"/>
      <c r="M24" s="50"/>
      <c r="N24" s="60"/>
      <c r="O24" s="60"/>
      <c r="P24" s="50"/>
      <c r="Q24" s="60"/>
      <c r="R24" s="50"/>
      <c r="S24" s="50"/>
      <c r="T24" s="60"/>
      <c r="U24" s="60"/>
      <c r="V24" s="50"/>
      <c r="W24" s="60"/>
    </row>
    <row r="25" spans="2:42">
      <c r="B25" s="47" t="s">
        <v>3887</v>
      </c>
      <c r="C25" s="41" t="s">
        <v>3078</v>
      </c>
      <c r="D25" s="50"/>
      <c r="E25" s="60"/>
      <c r="F25" s="60"/>
      <c r="G25" s="60"/>
      <c r="H25" s="50"/>
      <c r="I25" s="60"/>
      <c r="J25" s="60"/>
      <c r="K25" s="50"/>
      <c r="L25" s="60"/>
      <c r="M25" s="50"/>
      <c r="N25" s="60"/>
      <c r="O25" s="60"/>
      <c r="P25" s="50"/>
      <c r="Q25" s="60"/>
      <c r="R25" s="50"/>
      <c r="S25" s="50"/>
      <c r="T25" s="60"/>
      <c r="U25" s="60"/>
      <c r="V25" s="50"/>
      <c r="W25" s="60"/>
    </row>
    <row r="26" spans="2:42">
      <c r="B26" s="47" t="s">
        <v>3888</v>
      </c>
      <c r="C26" s="41" t="s">
        <v>2891</v>
      </c>
      <c r="D26" s="50"/>
      <c r="E26" s="60"/>
      <c r="F26" s="60"/>
      <c r="G26" s="60"/>
      <c r="H26" s="50"/>
      <c r="I26" s="60"/>
      <c r="J26" s="60"/>
      <c r="K26" s="50"/>
      <c r="L26" s="60"/>
      <c r="M26" s="50"/>
      <c r="N26" s="60"/>
      <c r="O26" s="60"/>
      <c r="P26" s="50"/>
      <c r="Q26" s="60"/>
      <c r="R26" s="50"/>
      <c r="S26" s="50"/>
      <c r="T26" s="60"/>
      <c r="U26" s="60"/>
      <c r="V26" s="50"/>
      <c r="W26" s="60"/>
    </row>
    <row r="27" spans="2:42">
      <c r="B27" s="47" t="s">
        <v>3889</v>
      </c>
      <c r="C27" s="41" t="s">
        <v>2893</v>
      </c>
      <c r="D27" s="50"/>
      <c r="E27" s="60"/>
      <c r="F27" s="60"/>
      <c r="G27" s="60"/>
      <c r="H27" s="50"/>
      <c r="I27" s="60"/>
      <c r="J27" s="60"/>
      <c r="K27" s="50"/>
      <c r="L27" s="60"/>
      <c r="M27" s="50"/>
      <c r="N27" s="60"/>
      <c r="O27" s="60"/>
      <c r="P27" s="50"/>
      <c r="Q27" s="60"/>
      <c r="R27" s="50"/>
      <c r="S27" s="50"/>
      <c r="T27" s="60"/>
      <c r="U27" s="60"/>
      <c r="V27" s="50"/>
      <c r="W27" s="60"/>
    </row>
    <row r="28" spans="2:42">
      <c r="B28" s="47" t="s">
        <v>3890</v>
      </c>
      <c r="C28" s="41" t="s">
        <v>2895</v>
      </c>
      <c r="D28" s="50"/>
      <c r="E28" s="60"/>
      <c r="F28" s="60"/>
      <c r="G28" s="60"/>
      <c r="H28" s="50"/>
      <c r="I28" s="60"/>
      <c r="J28" s="60"/>
      <c r="K28" s="50"/>
      <c r="L28" s="60"/>
      <c r="M28" s="50"/>
      <c r="N28" s="60"/>
      <c r="O28" s="60"/>
      <c r="P28" s="50"/>
      <c r="Q28" s="60"/>
      <c r="R28" s="50"/>
      <c r="S28" s="50"/>
      <c r="T28" s="60"/>
      <c r="U28" s="60"/>
      <c r="V28" s="50"/>
      <c r="W28" s="60"/>
    </row>
    <row r="29" spans="2:42">
      <c r="B29" s="47" t="s">
        <v>3891</v>
      </c>
      <c r="C29" s="41" t="s">
        <v>2897</v>
      </c>
      <c r="D29" s="50"/>
      <c r="E29" s="60"/>
      <c r="F29" s="60"/>
      <c r="G29" s="60"/>
      <c r="H29" s="50"/>
      <c r="I29" s="60"/>
      <c r="J29" s="60"/>
      <c r="K29" s="50"/>
      <c r="L29" s="60"/>
      <c r="M29" s="50"/>
      <c r="N29" s="60"/>
      <c r="O29" s="60"/>
      <c r="P29" s="50"/>
      <c r="Q29" s="60"/>
      <c r="R29" s="50"/>
      <c r="S29" s="50"/>
      <c r="T29" s="60"/>
      <c r="U29" s="60"/>
      <c r="V29" s="50"/>
      <c r="W29" s="60"/>
    </row>
    <row r="30" spans="2:42">
      <c r="B30" s="47" t="s">
        <v>3892</v>
      </c>
      <c r="C30" s="41" t="s">
        <v>2899</v>
      </c>
      <c r="D30" s="50"/>
      <c r="E30" s="60"/>
      <c r="F30" s="60"/>
      <c r="G30" s="60"/>
      <c r="H30" s="50"/>
      <c r="I30" s="60"/>
      <c r="J30" s="60"/>
      <c r="K30" s="50"/>
      <c r="L30" s="60"/>
      <c r="M30" s="50"/>
      <c r="N30" s="60"/>
      <c r="O30" s="60"/>
      <c r="P30" s="50"/>
      <c r="Q30" s="60"/>
      <c r="R30" s="50"/>
      <c r="S30" s="50"/>
      <c r="T30" s="60"/>
      <c r="U30" s="60"/>
      <c r="V30" s="50"/>
      <c r="W30" s="60"/>
    </row>
    <row r="31" spans="2:42">
      <c r="B31" s="47" t="s">
        <v>3893</v>
      </c>
      <c r="C31" s="41" t="s">
        <v>2901</v>
      </c>
      <c r="D31" s="50"/>
      <c r="E31" s="60"/>
      <c r="F31" s="60"/>
      <c r="G31" s="60"/>
      <c r="H31" s="50"/>
      <c r="I31" s="60"/>
      <c r="J31" s="60"/>
      <c r="K31" s="50"/>
      <c r="L31" s="60"/>
      <c r="M31" s="50"/>
      <c r="N31" s="60"/>
      <c r="O31" s="60"/>
      <c r="P31" s="50"/>
      <c r="Q31" s="60"/>
      <c r="R31" s="50"/>
      <c r="S31" s="50"/>
      <c r="T31" s="60"/>
      <c r="U31" s="60"/>
      <c r="V31" s="50"/>
      <c r="W31" s="60"/>
    </row>
    <row r="32" spans="2:42">
      <c r="B32" s="47" t="s">
        <v>3894</v>
      </c>
      <c r="C32" s="41" t="s">
        <v>2903</v>
      </c>
      <c r="D32" s="50"/>
      <c r="E32" s="60"/>
      <c r="F32" s="60"/>
      <c r="G32" s="60"/>
      <c r="H32" s="50"/>
      <c r="I32" s="60"/>
      <c r="J32" s="60"/>
      <c r="K32" s="50"/>
      <c r="L32" s="60"/>
      <c r="M32" s="50"/>
      <c r="N32" s="60"/>
      <c r="O32" s="60"/>
      <c r="P32" s="50"/>
      <c r="Q32" s="60"/>
      <c r="R32" s="50"/>
      <c r="S32" s="50"/>
      <c r="T32" s="60"/>
      <c r="U32" s="60"/>
      <c r="V32" s="50"/>
      <c r="W32" s="60"/>
    </row>
    <row r="33" spans="2:42">
      <c r="B33" s="47" t="s">
        <v>3895</v>
      </c>
      <c r="C33" s="41" t="s">
        <v>2905</v>
      </c>
      <c r="D33" s="50"/>
      <c r="E33" s="60"/>
      <c r="F33" s="60"/>
      <c r="G33" s="60"/>
      <c r="H33" s="50"/>
      <c r="I33" s="60"/>
      <c r="J33" s="60"/>
      <c r="K33" s="50"/>
      <c r="L33" s="60"/>
      <c r="M33" s="50"/>
      <c r="N33" s="60"/>
      <c r="O33" s="60"/>
      <c r="P33" s="50"/>
      <c r="Q33" s="60"/>
      <c r="R33" s="50"/>
      <c r="S33" s="50"/>
      <c r="T33" s="60"/>
      <c r="U33" s="60"/>
      <c r="V33" s="50"/>
      <c r="W33" s="60"/>
    </row>
    <row r="34" spans="2:42">
      <c r="B34" s="47" t="s">
        <v>3896</v>
      </c>
      <c r="C34" s="41" t="s">
        <v>2907</v>
      </c>
      <c r="D34" s="50"/>
      <c r="E34" s="60"/>
      <c r="F34" s="60"/>
      <c r="G34" s="60"/>
      <c r="H34" s="50"/>
      <c r="I34" s="60"/>
      <c r="J34" s="60"/>
      <c r="K34" s="50"/>
      <c r="L34" s="60"/>
      <c r="M34" s="50"/>
      <c r="N34" s="60"/>
      <c r="O34" s="60"/>
      <c r="P34" s="50"/>
      <c r="Q34" s="60"/>
      <c r="R34" s="50"/>
      <c r="S34" s="50"/>
      <c r="T34" s="60"/>
      <c r="U34" s="60"/>
      <c r="V34" s="50"/>
      <c r="W34" s="60"/>
    </row>
    <row r="35" spans="2:42">
      <c r="B35" s="47" t="s">
        <v>3897</v>
      </c>
      <c r="C35" s="41" t="s">
        <v>2909</v>
      </c>
      <c r="D35" s="50"/>
      <c r="E35" s="60"/>
      <c r="F35" s="60"/>
      <c r="G35" s="60"/>
      <c r="H35" s="50"/>
      <c r="I35" s="60"/>
      <c r="J35" s="60"/>
      <c r="K35" s="50"/>
      <c r="L35" s="60"/>
      <c r="M35" s="50"/>
      <c r="N35" s="60"/>
      <c r="O35" s="60"/>
      <c r="P35" s="50"/>
      <c r="Q35" s="60"/>
      <c r="R35" s="50"/>
      <c r="S35" s="50"/>
      <c r="T35" s="60"/>
      <c r="U35" s="60"/>
      <c r="V35" s="50"/>
      <c r="W35" s="60"/>
    </row>
    <row r="36" spans="2:42">
      <c r="B36" s="47" t="s">
        <v>4163</v>
      </c>
      <c r="C36" s="41" t="s">
        <v>2911</v>
      </c>
      <c r="D36" s="74"/>
      <c r="E36" s="63"/>
      <c r="F36" s="63"/>
      <c r="G36" s="63"/>
      <c r="H36" s="74"/>
      <c r="I36" s="63"/>
      <c r="J36" s="63"/>
      <c r="K36" s="74"/>
      <c r="L36" s="63"/>
      <c r="M36" s="50"/>
      <c r="N36" s="60"/>
      <c r="O36" s="60"/>
      <c r="P36" s="50"/>
      <c r="Q36" s="60"/>
      <c r="R36" s="50"/>
      <c r="S36" s="74"/>
      <c r="T36" s="63"/>
      <c r="U36" s="63"/>
      <c r="V36" s="74"/>
      <c r="W36" s="63"/>
    </row>
    <row r="37" spans="2:42">
      <c r="B37" s="47" t="s">
        <v>3898</v>
      </c>
      <c r="C37" s="44" t="s">
        <v>2913</v>
      </c>
      <c r="D37" s="58"/>
      <c r="E37" s="58"/>
      <c r="F37" s="58"/>
      <c r="G37" s="58"/>
      <c r="H37" s="58"/>
      <c r="I37" s="58"/>
      <c r="J37" s="58"/>
      <c r="K37" s="58"/>
      <c r="L37" s="48"/>
      <c r="M37" s="50"/>
      <c r="N37" s="60"/>
      <c r="O37" s="60"/>
      <c r="P37" s="50"/>
      <c r="Q37" s="60"/>
      <c r="R37" s="73"/>
      <c r="S37" s="58"/>
      <c r="T37" s="58"/>
      <c r="U37" s="58"/>
      <c r="V37" s="58"/>
      <c r="W37" s="48"/>
    </row>
    <row r="38" spans="2:42">
      <c r="B38" s="47" t="s">
        <v>3480</v>
      </c>
      <c r="C38" s="44" t="s">
        <v>2915</v>
      </c>
      <c r="D38" s="56"/>
      <c r="E38" s="56"/>
      <c r="F38" s="56"/>
      <c r="G38" s="56"/>
      <c r="H38" s="56"/>
      <c r="I38" s="56"/>
      <c r="J38" s="56"/>
      <c r="K38" s="56"/>
      <c r="L38" s="46"/>
      <c r="M38" s="50"/>
      <c r="N38" s="60"/>
      <c r="O38" s="60"/>
      <c r="P38" s="50"/>
      <c r="Q38" s="60"/>
      <c r="R38" s="73"/>
      <c r="S38" s="56"/>
      <c r="T38" s="56"/>
      <c r="U38" s="56"/>
      <c r="V38" s="56"/>
      <c r="W38" s="46"/>
    </row>
    <row r="40" spans="2:42">
      <c r="AO40" s="13" t="str">
        <f>Show!$B$89&amp;Show!$B$89&amp;"S.20.01.01.01 Rows {"&amp;COLUMN($C$1)&amp;"}"</f>
        <v>!!S.20.01.01.01 Rows {3}</v>
      </c>
      <c r="AP40" s="13" t="str">
        <f>Show!$B$89&amp;Show!$B$89&amp;"S.20.01.01.01 Columns {"&amp;COLUMN($W$1)&amp;"}"</f>
        <v>!!S.20.01.01.01 Columns {23}</v>
      </c>
    </row>
  </sheetData>
  <sheetProtection sheet="1" objects="1" scenarios="1"/>
  <mergeCells count="27">
    <mergeCell ref="S16:U16"/>
    <mergeCell ref="V16:W16"/>
    <mergeCell ref="B2:O2"/>
    <mergeCell ref="B5:L5"/>
    <mergeCell ref="D13:W14"/>
    <mergeCell ref="D15:L15"/>
    <mergeCell ref="M15:R15"/>
    <mergeCell ref="S15:W15"/>
    <mergeCell ref="K17:L17"/>
    <mergeCell ref="D16:G16"/>
    <mergeCell ref="H16:L16"/>
    <mergeCell ref="M16:O16"/>
    <mergeCell ref="P16:R16"/>
    <mergeCell ref="D17:D18"/>
    <mergeCell ref="E17:E18"/>
    <mergeCell ref="F17:F18"/>
    <mergeCell ref="G17:G18"/>
    <mergeCell ref="H17:J17"/>
    <mergeCell ref="U17:U18"/>
    <mergeCell ref="V17:V18"/>
    <mergeCell ref="W17:W18"/>
    <mergeCell ref="M17:M18"/>
    <mergeCell ref="N17:N18"/>
    <mergeCell ref="O17:O18"/>
    <mergeCell ref="P17:Q17"/>
    <mergeCell ref="S17:S18"/>
    <mergeCell ref="T17:T18"/>
  </mergeCells>
  <dataValidations count="2">
    <dataValidation type="list" errorStyle="warning" allowBlank="1" showInputMessage="1" showErrorMessage="1" sqref="D9" xr:uid="{A9AA1A84-B3AC-4935-9889-6B9091194BEA}">
      <formula1>hier_LB_30</formula1>
    </dataValidation>
    <dataValidation type="list" errorStyle="warning" allowBlank="1" showInputMessage="1" showErrorMessage="1" sqref="D10" xr:uid="{9006C947-5947-41DC-8C08-C165BAED6F3C}">
      <formula1>hier_AM_8</formula1>
    </dataValidation>
  </dataValidation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979AB-3B4F-45D2-8101-9449ECA84572}">
  <sheetPr codeName="Blad94"/>
  <dimension ref="B2:AO41"/>
  <sheetViews>
    <sheetView showGridLines="0" workbookViewId="0"/>
  </sheetViews>
  <sheetFormatPr defaultRowHeight="15"/>
  <cols>
    <col min="2" max="2" width="30.85546875" bestFit="1" customWidth="1"/>
    <col min="4" max="35" width="15.7109375" customWidth="1"/>
  </cols>
  <sheetData>
    <row r="2" spans="2:41" ht="23.25">
      <c r="B2" s="86" t="s">
        <v>647</v>
      </c>
      <c r="C2" s="87"/>
      <c r="D2" s="87"/>
      <c r="E2" s="87"/>
      <c r="F2" s="87"/>
      <c r="G2" s="87"/>
      <c r="H2" s="87"/>
      <c r="I2" s="87"/>
      <c r="J2" s="87"/>
      <c r="K2" s="87"/>
      <c r="L2" s="87"/>
      <c r="M2" s="87"/>
      <c r="N2" s="87"/>
      <c r="O2" s="87"/>
    </row>
    <row r="5" spans="2:41" ht="18.75">
      <c r="B5" s="88" t="s">
        <v>4164</v>
      </c>
      <c r="C5" s="87"/>
      <c r="D5" s="87"/>
      <c r="E5" s="87"/>
      <c r="F5" s="87"/>
      <c r="G5" s="87"/>
      <c r="H5" s="87"/>
      <c r="I5" s="87"/>
      <c r="J5" s="87"/>
      <c r="K5" s="87"/>
      <c r="L5" s="87"/>
    </row>
    <row r="7" spans="2:41">
      <c r="B7" t="s">
        <v>3110</v>
      </c>
      <c r="AN7" s="13" t="str">
        <f>Show!$B$90&amp;"S.21.01.01.01 Table label {"&amp;COLUMN($C$1)&amp;"}"</f>
        <v>!S.21.01.01.01 Table label {3}</v>
      </c>
      <c r="AO7" s="13" t="str">
        <f>Show!$B$90&amp;"S.21.01.01.01 Table value {"&amp;COLUMN($D$1)&amp;"}"</f>
        <v>!S.21.01.01.01 Table value {4}</v>
      </c>
    </row>
    <row r="8" spans="2:41">
      <c r="B8" t="s">
        <v>3111</v>
      </c>
    </row>
    <row r="9" spans="2:41">
      <c r="B9" s="40" t="s">
        <v>3427</v>
      </c>
      <c r="C9" s="53" t="s">
        <v>3113</v>
      </c>
      <c r="D9" s="51"/>
    </row>
    <row r="10" spans="2:41">
      <c r="B10" s="40" t="s">
        <v>4148</v>
      </c>
      <c r="C10" s="53" t="s">
        <v>3115</v>
      </c>
      <c r="D10" s="51"/>
    </row>
    <row r="11" spans="2:41">
      <c r="AN11" s="13" t="str">
        <f>Show!$B$90&amp;Show!$B$90&amp;"S.21.01.01.01 Table label {"&amp;COLUMN($C$1)&amp;"}"</f>
        <v>!!S.21.01.01.01 Table label {3}</v>
      </c>
      <c r="AO11" s="13" t="str">
        <f>Show!$B$90&amp;Show!$B$90&amp;"S.21.01.01.01 Table value {"&amp;COLUMN($D$1)&amp;"}"</f>
        <v>!!S.21.01.01.01 Table value {4}</v>
      </c>
    </row>
    <row r="13" spans="2:41">
      <c r="D13" s="92" t="s">
        <v>2877</v>
      </c>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4"/>
    </row>
    <row r="14" spans="2:41">
      <c r="D14" s="95"/>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7"/>
    </row>
    <row r="15" spans="2:41" ht="60">
      <c r="D15" s="55" t="s">
        <v>4165</v>
      </c>
      <c r="E15" s="55" t="s">
        <v>4166</v>
      </c>
      <c r="F15" s="55" t="s">
        <v>4167</v>
      </c>
      <c r="G15" s="55" t="s">
        <v>4168</v>
      </c>
      <c r="H15" s="55" t="s">
        <v>4169</v>
      </c>
      <c r="I15" s="55" t="s">
        <v>4170</v>
      </c>
      <c r="J15" s="55" t="s">
        <v>4171</v>
      </c>
      <c r="K15" s="55" t="s">
        <v>4172</v>
      </c>
      <c r="L15" s="55" t="s">
        <v>4173</v>
      </c>
      <c r="M15" s="55" t="s">
        <v>4174</v>
      </c>
      <c r="N15" s="55" t="s">
        <v>4175</v>
      </c>
      <c r="O15" s="55" t="s">
        <v>4176</v>
      </c>
      <c r="P15" s="55" t="s">
        <v>4177</v>
      </c>
      <c r="Q15" s="55" t="s">
        <v>4178</v>
      </c>
      <c r="R15" s="55" t="s">
        <v>4179</v>
      </c>
      <c r="S15" s="55" t="s">
        <v>4180</v>
      </c>
      <c r="T15" s="55" t="s">
        <v>4181</v>
      </c>
      <c r="U15" s="55" t="s">
        <v>4182</v>
      </c>
      <c r="V15" s="55" t="s">
        <v>4183</v>
      </c>
      <c r="W15" s="55" t="s">
        <v>4184</v>
      </c>
      <c r="X15" s="55" t="s">
        <v>4185</v>
      </c>
      <c r="Y15" s="55" t="s">
        <v>4186</v>
      </c>
      <c r="Z15" s="55" t="s">
        <v>4187</v>
      </c>
      <c r="AA15" s="55" t="s">
        <v>4188</v>
      </c>
      <c r="AB15" s="55" t="s">
        <v>4189</v>
      </c>
      <c r="AC15" s="55" t="s">
        <v>4190</v>
      </c>
      <c r="AD15" s="55" t="s">
        <v>4191</v>
      </c>
      <c r="AE15" s="55" t="s">
        <v>4192</v>
      </c>
      <c r="AF15" s="55" t="s">
        <v>4193</v>
      </c>
      <c r="AG15" s="55" t="s">
        <v>4194</v>
      </c>
      <c r="AH15" s="55" t="s">
        <v>4195</v>
      </c>
      <c r="AI15" s="55" t="s">
        <v>4196</v>
      </c>
    </row>
    <row r="16" spans="2:41">
      <c r="D16" s="45" t="s">
        <v>3225</v>
      </c>
      <c r="E16" s="45" t="s">
        <v>3223</v>
      </c>
      <c r="F16" s="45" t="s">
        <v>3229</v>
      </c>
      <c r="G16" s="45" t="s">
        <v>3231</v>
      </c>
      <c r="H16" s="45" t="s">
        <v>3233</v>
      </c>
      <c r="I16" s="45" t="s">
        <v>3234</v>
      </c>
      <c r="J16" s="45" t="s">
        <v>3236</v>
      </c>
      <c r="K16" s="45" t="s">
        <v>3239</v>
      </c>
      <c r="L16" s="45" t="s">
        <v>3241</v>
      </c>
      <c r="M16" s="45" t="s">
        <v>3243</v>
      </c>
      <c r="N16" s="45" t="s">
        <v>3375</v>
      </c>
      <c r="O16" s="45" t="s">
        <v>3475</v>
      </c>
      <c r="P16" s="45" t="s">
        <v>3477</v>
      </c>
      <c r="Q16" s="45" t="s">
        <v>3479</v>
      </c>
      <c r="R16" s="45" t="s">
        <v>3594</v>
      </c>
      <c r="S16" s="45" t="s">
        <v>3596</v>
      </c>
      <c r="T16" s="45" t="s">
        <v>3599</v>
      </c>
      <c r="U16" s="45" t="s">
        <v>3481</v>
      </c>
      <c r="V16" s="45" t="s">
        <v>3508</v>
      </c>
      <c r="W16" s="45" t="s">
        <v>3509</v>
      </c>
      <c r="X16" s="45" t="s">
        <v>3511</v>
      </c>
      <c r="Y16" s="45" t="s">
        <v>3513</v>
      </c>
      <c r="Z16" s="45" t="s">
        <v>3514</v>
      </c>
      <c r="AA16" s="45" t="s">
        <v>3515</v>
      </c>
      <c r="AB16" s="45" t="s">
        <v>3517</v>
      </c>
      <c r="AC16" s="45" t="s">
        <v>3518</v>
      </c>
      <c r="AD16" s="45" t="s">
        <v>3608</v>
      </c>
      <c r="AE16" s="45" t="s">
        <v>3519</v>
      </c>
      <c r="AF16" s="45" t="s">
        <v>3612</v>
      </c>
      <c r="AG16" s="45" t="s">
        <v>3614</v>
      </c>
      <c r="AH16" s="45" t="s">
        <v>3616</v>
      </c>
      <c r="AI16" s="45" t="s">
        <v>3618</v>
      </c>
      <c r="AN16" s="13" t="str">
        <f>Show!$B$90&amp;"S.21.01.01.01 Rows {"&amp;COLUMN($C$1)&amp;"}"&amp;"@ForceFilingCode:true"</f>
        <v>!S.21.01.01.01 Rows {3}@ForceFilingCode:true</v>
      </c>
      <c r="AO16" s="13" t="str">
        <f>Show!$B$90&amp;"S.21.01.01.01 Columns {"&amp;COLUMN($D$1)&amp;"}"</f>
        <v>!S.21.01.01.01 Columns {4}</v>
      </c>
    </row>
    <row r="17" spans="2:35">
      <c r="B17" s="43" t="s">
        <v>2880</v>
      </c>
      <c r="C17" s="44" t="s">
        <v>2878</v>
      </c>
      <c r="D17" s="5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57"/>
    </row>
    <row r="18" spans="2:35">
      <c r="B18" s="47" t="s">
        <v>4197</v>
      </c>
      <c r="C18" s="41" t="s">
        <v>2883</v>
      </c>
      <c r="D18" s="60"/>
      <c r="E18" s="60"/>
      <c r="F18" s="50"/>
      <c r="G18" s="60"/>
      <c r="H18" s="50"/>
      <c r="I18" s="60"/>
      <c r="J18" s="50"/>
      <c r="K18" s="60"/>
      <c r="L18" s="50"/>
      <c r="M18" s="60"/>
      <c r="N18" s="50"/>
      <c r="O18" s="60"/>
      <c r="P18" s="50"/>
      <c r="Q18" s="60"/>
      <c r="R18" s="50"/>
      <c r="S18" s="60"/>
      <c r="T18" s="50"/>
      <c r="U18" s="60"/>
      <c r="V18" s="50"/>
      <c r="W18" s="60"/>
      <c r="X18" s="50"/>
      <c r="Y18" s="60"/>
      <c r="Z18" s="50"/>
      <c r="AA18" s="60"/>
      <c r="AB18" s="50"/>
      <c r="AC18" s="60"/>
      <c r="AD18" s="50"/>
      <c r="AE18" s="60"/>
      <c r="AF18" s="50"/>
      <c r="AG18" s="60"/>
      <c r="AH18" s="50"/>
      <c r="AI18" s="60"/>
    </row>
    <row r="19" spans="2:35">
      <c r="B19" s="47" t="s">
        <v>4198</v>
      </c>
      <c r="C19" s="41" t="s">
        <v>2885</v>
      </c>
      <c r="D19" s="60"/>
      <c r="E19" s="60"/>
      <c r="F19" s="50"/>
      <c r="G19" s="60"/>
      <c r="H19" s="50"/>
      <c r="I19" s="60"/>
      <c r="J19" s="50"/>
      <c r="K19" s="60"/>
      <c r="L19" s="50"/>
      <c r="M19" s="60"/>
      <c r="N19" s="50"/>
      <c r="O19" s="60"/>
      <c r="P19" s="50"/>
      <c r="Q19" s="60"/>
      <c r="R19" s="50"/>
      <c r="S19" s="60"/>
      <c r="T19" s="50"/>
      <c r="U19" s="60"/>
      <c r="V19" s="50"/>
      <c r="W19" s="60"/>
      <c r="X19" s="50"/>
      <c r="Y19" s="60"/>
      <c r="Z19" s="50"/>
      <c r="AA19" s="60"/>
      <c r="AB19" s="50"/>
      <c r="AC19" s="60"/>
      <c r="AD19" s="50"/>
      <c r="AE19" s="60"/>
      <c r="AF19" s="50"/>
      <c r="AG19" s="60"/>
      <c r="AH19" s="50"/>
      <c r="AI19" s="60"/>
    </row>
    <row r="20" spans="2:35">
      <c r="B20" s="47" t="s">
        <v>4199</v>
      </c>
      <c r="C20" s="41" t="s">
        <v>2887</v>
      </c>
      <c r="D20" s="60"/>
      <c r="E20" s="60"/>
      <c r="F20" s="50"/>
      <c r="G20" s="60"/>
      <c r="H20" s="50"/>
      <c r="I20" s="60"/>
      <c r="J20" s="50"/>
      <c r="K20" s="60"/>
      <c r="L20" s="50"/>
      <c r="M20" s="60"/>
      <c r="N20" s="50"/>
      <c r="O20" s="60"/>
      <c r="P20" s="50"/>
      <c r="Q20" s="60"/>
      <c r="R20" s="50"/>
      <c r="S20" s="60"/>
      <c r="T20" s="50"/>
      <c r="U20" s="60"/>
      <c r="V20" s="50"/>
      <c r="W20" s="60"/>
      <c r="X20" s="50"/>
      <c r="Y20" s="60"/>
      <c r="Z20" s="50"/>
      <c r="AA20" s="60"/>
      <c r="AB20" s="50"/>
      <c r="AC20" s="60"/>
      <c r="AD20" s="50"/>
      <c r="AE20" s="60"/>
      <c r="AF20" s="50"/>
      <c r="AG20" s="60"/>
      <c r="AH20" s="50"/>
      <c r="AI20" s="60"/>
    </row>
    <row r="21" spans="2:35">
      <c r="B21" s="47" t="s">
        <v>4200</v>
      </c>
      <c r="C21" s="41" t="s">
        <v>2889</v>
      </c>
      <c r="D21" s="60"/>
      <c r="E21" s="60"/>
      <c r="F21" s="50"/>
      <c r="G21" s="60"/>
      <c r="H21" s="50"/>
      <c r="I21" s="60"/>
      <c r="J21" s="50"/>
      <c r="K21" s="60"/>
      <c r="L21" s="50"/>
      <c r="M21" s="60"/>
      <c r="N21" s="50"/>
      <c r="O21" s="60"/>
      <c r="P21" s="50"/>
      <c r="Q21" s="60"/>
      <c r="R21" s="50"/>
      <c r="S21" s="60"/>
      <c r="T21" s="50"/>
      <c r="U21" s="60"/>
      <c r="V21" s="50"/>
      <c r="W21" s="60"/>
      <c r="X21" s="50"/>
      <c r="Y21" s="60"/>
      <c r="Z21" s="50"/>
      <c r="AA21" s="60"/>
      <c r="AB21" s="50"/>
      <c r="AC21" s="60"/>
      <c r="AD21" s="50"/>
      <c r="AE21" s="60"/>
      <c r="AF21" s="50"/>
      <c r="AG21" s="60"/>
      <c r="AH21" s="50"/>
      <c r="AI21" s="60"/>
    </row>
    <row r="22" spans="2:35">
      <c r="B22" s="47" t="s">
        <v>4201</v>
      </c>
      <c r="C22" s="41" t="s">
        <v>3078</v>
      </c>
      <c r="D22" s="60"/>
      <c r="E22" s="60"/>
      <c r="F22" s="50"/>
      <c r="G22" s="60"/>
      <c r="H22" s="50"/>
      <c r="I22" s="60"/>
      <c r="J22" s="50"/>
      <c r="K22" s="60"/>
      <c r="L22" s="50"/>
      <c r="M22" s="60"/>
      <c r="N22" s="50"/>
      <c r="O22" s="60"/>
      <c r="P22" s="50"/>
      <c r="Q22" s="60"/>
      <c r="R22" s="50"/>
      <c r="S22" s="60"/>
      <c r="T22" s="50"/>
      <c r="U22" s="60"/>
      <c r="V22" s="50"/>
      <c r="W22" s="60"/>
      <c r="X22" s="50"/>
      <c r="Y22" s="60"/>
      <c r="Z22" s="50"/>
      <c r="AA22" s="60"/>
      <c r="AB22" s="50"/>
      <c r="AC22" s="60"/>
      <c r="AD22" s="50"/>
      <c r="AE22" s="60"/>
      <c r="AF22" s="50"/>
      <c r="AG22" s="60"/>
      <c r="AH22" s="50"/>
      <c r="AI22" s="60"/>
    </row>
    <row r="23" spans="2:35">
      <c r="B23" s="47" t="s">
        <v>4202</v>
      </c>
      <c r="C23" s="41" t="s">
        <v>2891</v>
      </c>
      <c r="D23" s="60"/>
      <c r="E23" s="60"/>
      <c r="F23" s="50"/>
      <c r="G23" s="60"/>
      <c r="H23" s="50"/>
      <c r="I23" s="60"/>
      <c r="J23" s="50"/>
      <c r="K23" s="60"/>
      <c r="L23" s="50"/>
      <c r="M23" s="60"/>
      <c r="N23" s="50"/>
      <c r="O23" s="60"/>
      <c r="P23" s="50"/>
      <c r="Q23" s="60"/>
      <c r="R23" s="50"/>
      <c r="S23" s="60"/>
      <c r="T23" s="50"/>
      <c r="U23" s="60"/>
      <c r="V23" s="50"/>
      <c r="W23" s="60"/>
      <c r="X23" s="50"/>
      <c r="Y23" s="60"/>
      <c r="Z23" s="50"/>
      <c r="AA23" s="60"/>
      <c r="AB23" s="50"/>
      <c r="AC23" s="60"/>
      <c r="AD23" s="50"/>
      <c r="AE23" s="60"/>
      <c r="AF23" s="50"/>
      <c r="AG23" s="60"/>
      <c r="AH23" s="50"/>
      <c r="AI23" s="60"/>
    </row>
    <row r="24" spans="2:35">
      <c r="B24" s="47" t="s">
        <v>4203</v>
      </c>
      <c r="C24" s="41" t="s">
        <v>2893</v>
      </c>
      <c r="D24" s="60"/>
      <c r="E24" s="60"/>
      <c r="F24" s="50"/>
      <c r="G24" s="60"/>
      <c r="H24" s="50"/>
      <c r="I24" s="60"/>
      <c r="J24" s="50"/>
      <c r="K24" s="60"/>
      <c r="L24" s="50"/>
      <c r="M24" s="60"/>
      <c r="N24" s="50"/>
      <c r="O24" s="60"/>
      <c r="P24" s="50"/>
      <c r="Q24" s="60"/>
      <c r="R24" s="50"/>
      <c r="S24" s="60"/>
      <c r="T24" s="50"/>
      <c r="U24" s="60"/>
      <c r="V24" s="50"/>
      <c r="W24" s="60"/>
      <c r="X24" s="50"/>
      <c r="Y24" s="60"/>
      <c r="Z24" s="50"/>
      <c r="AA24" s="60"/>
      <c r="AB24" s="50"/>
      <c r="AC24" s="60"/>
      <c r="AD24" s="50"/>
      <c r="AE24" s="60"/>
      <c r="AF24" s="50"/>
      <c r="AG24" s="60"/>
      <c r="AH24" s="50"/>
      <c r="AI24" s="60"/>
    </row>
    <row r="25" spans="2:35">
      <c r="B25" s="47" t="s">
        <v>4204</v>
      </c>
      <c r="C25" s="41" t="s">
        <v>2895</v>
      </c>
      <c r="D25" s="60"/>
      <c r="E25" s="60"/>
      <c r="F25" s="50"/>
      <c r="G25" s="60"/>
      <c r="H25" s="50"/>
      <c r="I25" s="60"/>
      <c r="J25" s="50"/>
      <c r="K25" s="60"/>
      <c r="L25" s="50"/>
      <c r="M25" s="60"/>
      <c r="N25" s="50"/>
      <c r="O25" s="60"/>
      <c r="P25" s="50"/>
      <c r="Q25" s="60"/>
      <c r="R25" s="50"/>
      <c r="S25" s="60"/>
      <c r="T25" s="50"/>
      <c r="U25" s="60"/>
      <c r="V25" s="50"/>
      <c r="W25" s="60"/>
      <c r="X25" s="50"/>
      <c r="Y25" s="60"/>
      <c r="Z25" s="50"/>
      <c r="AA25" s="60"/>
      <c r="AB25" s="50"/>
      <c r="AC25" s="60"/>
      <c r="AD25" s="50"/>
      <c r="AE25" s="60"/>
      <c r="AF25" s="50"/>
      <c r="AG25" s="60"/>
      <c r="AH25" s="50"/>
      <c r="AI25" s="60"/>
    </row>
    <row r="26" spans="2:35">
      <c r="B26" s="47" t="s">
        <v>4205</v>
      </c>
      <c r="C26" s="41" t="s">
        <v>2897</v>
      </c>
      <c r="D26" s="60"/>
      <c r="E26" s="60"/>
      <c r="F26" s="50"/>
      <c r="G26" s="60"/>
      <c r="H26" s="50"/>
      <c r="I26" s="60"/>
      <c r="J26" s="50"/>
      <c r="K26" s="60"/>
      <c r="L26" s="50"/>
      <c r="M26" s="60"/>
      <c r="N26" s="50"/>
      <c r="O26" s="60"/>
      <c r="P26" s="50"/>
      <c r="Q26" s="60"/>
      <c r="R26" s="50"/>
      <c r="S26" s="60"/>
      <c r="T26" s="50"/>
      <c r="U26" s="60"/>
      <c r="V26" s="50"/>
      <c r="W26" s="60"/>
      <c r="X26" s="50"/>
      <c r="Y26" s="60"/>
      <c r="Z26" s="50"/>
      <c r="AA26" s="60"/>
      <c r="AB26" s="50"/>
      <c r="AC26" s="60"/>
      <c r="AD26" s="50"/>
      <c r="AE26" s="60"/>
      <c r="AF26" s="50"/>
      <c r="AG26" s="60"/>
      <c r="AH26" s="50"/>
      <c r="AI26" s="60"/>
    </row>
    <row r="27" spans="2:35">
      <c r="B27" s="47" t="s">
        <v>4206</v>
      </c>
      <c r="C27" s="41" t="s">
        <v>2899</v>
      </c>
      <c r="D27" s="60"/>
      <c r="E27" s="60"/>
      <c r="F27" s="50"/>
      <c r="G27" s="60"/>
      <c r="H27" s="50"/>
      <c r="I27" s="60"/>
      <c r="J27" s="50"/>
      <c r="K27" s="60"/>
      <c r="L27" s="50"/>
      <c r="M27" s="60"/>
      <c r="N27" s="50"/>
      <c r="O27" s="60"/>
      <c r="P27" s="50"/>
      <c r="Q27" s="60"/>
      <c r="R27" s="50"/>
      <c r="S27" s="60"/>
      <c r="T27" s="50"/>
      <c r="U27" s="60"/>
      <c r="V27" s="50"/>
      <c r="W27" s="60"/>
      <c r="X27" s="50"/>
      <c r="Y27" s="60"/>
      <c r="Z27" s="50"/>
      <c r="AA27" s="60"/>
      <c r="AB27" s="50"/>
      <c r="AC27" s="60"/>
      <c r="AD27" s="50"/>
      <c r="AE27" s="60"/>
      <c r="AF27" s="50"/>
      <c r="AG27" s="60"/>
      <c r="AH27" s="50"/>
      <c r="AI27" s="60"/>
    </row>
    <row r="28" spans="2:35">
      <c r="B28" s="47" t="s">
        <v>4207</v>
      </c>
      <c r="C28" s="41" t="s">
        <v>2901</v>
      </c>
      <c r="D28" s="60"/>
      <c r="E28" s="60"/>
      <c r="F28" s="50"/>
      <c r="G28" s="60"/>
      <c r="H28" s="50"/>
      <c r="I28" s="60"/>
      <c r="J28" s="50"/>
      <c r="K28" s="60"/>
      <c r="L28" s="50"/>
      <c r="M28" s="60"/>
      <c r="N28" s="50"/>
      <c r="O28" s="60"/>
      <c r="P28" s="50"/>
      <c r="Q28" s="60"/>
      <c r="R28" s="50"/>
      <c r="S28" s="60"/>
      <c r="T28" s="50"/>
      <c r="U28" s="60"/>
      <c r="V28" s="50"/>
      <c r="W28" s="60"/>
      <c r="X28" s="50"/>
      <c r="Y28" s="60"/>
      <c r="Z28" s="50"/>
      <c r="AA28" s="60"/>
      <c r="AB28" s="50"/>
      <c r="AC28" s="60"/>
      <c r="AD28" s="50"/>
      <c r="AE28" s="60"/>
      <c r="AF28" s="50"/>
      <c r="AG28" s="60"/>
      <c r="AH28" s="50"/>
      <c r="AI28" s="60"/>
    </row>
    <row r="29" spans="2:35">
      <c r="B29" s="47" t="s">
        <v>4208</v>
      </c>
      <c r="C29" s="41" t="s">
        <v>2903</v>
      </c>
      <c r="D29" s="60"/>
      <c r="E29" s="60"/>
      <c r="F29" s="50"/>
      <c r="G29" s="60"/>
      <c r="H29" s="50"/>
      <c r="I29" s="60"/>
      <c r="J29" s="50"/>
      <c r="K29" s="60"/>
      <c r="L29" s="50"/>
      <c r="M29" s="60"/>
      <c r="N29" s="50"/>
      <c r="O29" s="60"/>
      <c r="P29" s="50"/>
      <c r="Q29" s="60"/>
      <c r="R29" s="50"/>
      <c r="S29" s="60"/>
      <c r="T29" s="50"/>
      <c r="U29" s="60"/>
      <c r="V29" s="50"/>
      <c r="W29" s="60"/>
      <c r="X29" s="50"/>
      <c r="Y29" s="60"/>
      <c r="Z29" s="50"/>
      <c r="AA29" s="60"/>
      <c r="AB29" s="50"/>
      <c r="AC29" s="60"/>
      <c r="AD29" s="50"/>
      <c r="AE29" s="60"/>
      <c r="AF29" s="50"/>
      <c r="AG29" s="60"/>
      <c r="AH29" s="50"/>
      <c r="AI29" s="60"/>
    </row>
    <row r="30" spans="2:35">
      <c r="B30" s="47" t="s">
        <v>4209</v>
      </c>
      <c r="C30" s="41" t="s">
        <v>2905</v>
      </c>
      <c r="D30" s="60"/>
      <c r="E30" s="60"/>
      <c r="F30" s="50"/>
      <c r="G30" s="60"/>
      <c r="H30" s="50"/>
      <c r="I30" s="60"/>
      <c r="J30" s="50"/>
      <c r="K30" s="60"/>
      <c r="L30" s="50"/>
      <c r="M30" s="60"/>
      <c r="N30" s="50"/>
      <c r="O30" s="60"/>
      <c r="P30" s="50"/>
      <c r="Q30" s="60"/>
      <c r="R30" s="50"/>
      <c r="S30" s="60"/>
      <c r="T30" s="50"/>
      <c r="U30" s="60"/>
      <c r="V30" s="50"/>
      <c r="W30" s="60"/>
      <c r="X30" s="50"/>
      <c r="Y30" s="60"/>
      <c r="Z30" s="50"/>
      <c r="AA30" s="60"/>
      <c r="AB30" s="50"/>
      <c r="AC30" s="60"/>
      <c r="AD30" s="50"/>
      <c r="AE30" s="60"/>
      <c r="AF30" s="50"/>
      <c r="AG30" s="60"/>
      <c r="AH30" s="50"/>
      <c r="AI30" s="60"/>
    </row>
    <row r="31" spans="2:35">
      <c r="B31" s="47" t="s">
        <v>4210</v>
      </c>
      <c r="C31" s="41" t="s">
        <v>2907</v>
      </c>
      <c r="D31" s="60"/>
      <c r="E31" s="60"/>
      <c r="F31" s="50"/>
      <c r="G31" s="60"/>
      <c r="H31" s="50"/>
      <c r="I31" s="60"/>
      <c r="J31" s="50"/>
      <c r="K31" s="60"/>
      <c r="L31" s="50"/>
      <c r="M31" s="60"/>
      <c r="N31" s="50"/>
      <c r="O31" s="60"/>
      <c r="P31" s="50"/>
      <c r="Q31" s="60"/>
      <c r="R31" s="50"/>
      <c r="S31" s="60"/>
      <c r="T31" s="50"/>
      <c r="U31" s="60"/>
      <c r="V31" s="50"/>
      <c r="W31" s="60"/>
      <c r="X31" s="50"/>
      <c r="Y31" s="60"/>
      <c r="Z31" s="50"/>
      <c r="AA31" s="60"/>
      <c r="AB31" s="50"/>
      <c r="AC31" s="60"/>
      <c r="AD31" s="50"/>
      <c r="AE31" s="60"/>
      <c r="AF31" s="50"/>
      <c r="AG31" s="60"/>
      <c r="AH31" s="50"/>
      <c r="AI31" s="60"/>
    </row>
    <row r="32" spans="2:35">
      <c r="B32" s="47" t="s">
        <v>4211</v>
      </c>
      <c r="C32" s="41" t="s">
        <v>2909</v>
      </c>
      <c r="D32" s="60"/>
      <c r="E32" s="60"/>
      <c r="F32" s="50"/>
      <c r="G32" s="60"/>
      <c r="H32" s="50"/>
      <c r="I32" s="60"/>
      <c r="J32" s="50"/>
      <c r="K32" s="60"/>
      <c r="L32" s="50"/>
      <c r="M32" s="60"/>
      <c r="N32" s="50"/>
      <c r="O32" s="60"/>
      <c r="P32" s="50"/>
      <c r="Q32" s="60"/>
      <c r="R32" s="50"/>
      <c r="S32" s="60"/>
      <c r="T32" s="50"/>
      <c r="U32" s="60"/>
      <c r="V32" s="50"/>
      <c r="W32" s="60"/>
      <c r="X32" s="50"/>
      <c r="Y32" s="60"/>
      <c r="Z32" s="50"/>
      <c r="AA32" s="60"/>
      <c r="AB32" s="50"/>
      <c r="AC32" s="60"/>
      <c r="AD32" s="50"/>
      <c r="AE32" s="60"/>
      <c r="AF32" s="50"/>
      <c r="AG32" s="60"/>
      <c r="AH32" s="50"/>
      <c r="AI32" s="60"/>
    </row>
    <row r="33" spans="2:41">
      <c r="B33" s="47" t="s">
        <v>4212</v>
      </c>
      <c r="C33" s="41" t="s">
        <v>2911</v>
      </c>
      <c r="D33" s="60"/>
      <c r="E33" s="60"/>
      <c r="F33" s="50"/>
      <c r="G33" s="60"/>
      <c r="H33" s="50"/>
      <c r="I33" s="60"/>
      <c r="J33" s="50"/>
      <c r="K33" s="60"/>
      <c r="L33" s="50"/>
      <c r="M33" s="60"/>
      <c r="N33" s="50"/>
      <c r="O33" s="60"/>
      <c r="P33" s="50"/>
      <c r="Q33" s="60"/>
      <c r="R33" s="50"/>
      <c r="S33" s="60"/>
      <c r="T33" s="50"/>
      <c r="U33" s="60"/>
      <c r="V33" s="50"/>
      <c r="W33" s="60"/>
      <c r="X33" s="50"/>
      <c r="Y33" s="60"/>
      <c r="Z33" s="50"/>
      <c r="AA33" s="60"/>
      <c r="AB33" s="50"/>
      <c r="AC33" s="60"/>
      <c r="AD33" s="50"/>
      <c r="AE33" s="60"/>
      <c r="AF33" s="50"/>
      <c r="AG33" s="60"/>
      <c r="AH33" s="50"/>
      <c r="AI33" s="60"/>
    </row>
    <row r="34" spans="2:41">
      <c r="B34" s="47" t="s">
        <v>4213</v>
      </c>
      <c r="C34" s="41" t="s">
        <v>2913</v>
      </c>
      <c r="D34" s="60"/>
      <c r="E34" s="60"/>
      <c r="F34" s="50"/>
      <c r="G34" s="60"/>
      <c r="H34" s="50"/>
      <c r="I34" s="60"/>
      <c r="J34" s="50"/>
      <c r="K34" s="60"/>
      <c r="L34" s="50"/>
      <c r="M34" s="60"/>
      <c r="N34" s="50"/>
      <c r="O34" s="60"/>
      <c r="P34" s="50"/>
      <c r="Q34" s="60"/>
      <c r="R34" s="50"/>
      <c r="S34" s="60"/>
      <c r="T34" s="50"/>
      <c r="U34" s="60"/>
      <c r="V34" s="50"/>
      <c r="W34" s="60"/>
      <c r="X34" s="50"/>
      <c r="Y34" s="60"/>
      <c r="Z34" s="50"/>
      <c r="AA34" s="60"/>
      <c r="AB34" s="50"/>
      <c r="AC34" s="60"/>
      <c r="AD34" s="50"/>
      <c r="AE34" s="60"/>
      <c r="AF34" s="50"/>
      <c r="AG34" s="60"/>
      <c r="AH34" s="50"/>
      <c r="AI34" s="60"/>
    </row>
    <row r="35" spans="2:41">
      <c r="B35" s="47" t="s">
        <v>4214</v>
      </c>
      <c r="C35" s="41" t="s">
        <v>2915</v>
      </c>
      <c r="D35" s="60"/>
      <c r="E35" s="60"/>
      <c r="F35" s="50"/>
      <c r="G35" s="60"/>
      <c r="H35" s="50"/>
      <c r="I35" s="60"/>
      <c r="J35" s="50"/>
      <c r="K35" s="60"/>
      <c r="L35" s="50"/>
      <c r="M35" s="60"/>
      <c r="N35" s="50"/>
      <c r="O35" s="60"/>
      <c r="P35" s="50"/>
      <c r="Q35" s="60"/>
      <c r="R35" s="50"/>
      <c r="S35" s="60"/>
      <c r="T35" s="50"/>
      <c r="U35" s="60"/>
      <c r="V35" s="50"/>
      <c r="W35" s="60"/>
      <c r="X35" s="50"/>
      <c r="Y35" s="60"/>
      <c r="Z35" s="50"/>
      <c r="AA35" s="60"/>
      <c r="AB35" s="50"/>
      <c r="AC35" s="60"/>
      <c r="AD35" s="50"/>
      <c r="AE35" s="60"/>
      <c r="AF35" s="50"/>
      <c r="AG35" s="60"/>
      <c r="AH35" s="50"/>
      <c r="AI35" s="60"/>
    </row>
    <row r="36" spans="2:41">
      <c r="B36" s="47" t="s">
        <v>4215</v>
      </c>
      <c r="C36" s="41" t="s">
        <v>2917</v>
      </c>
      <c r="D36" s="60"/>
      <c r="E36" s="60"/>
      <c r="F36" s="50"/>
      <c r="G36" s="60"/>
      <c r="H36" s="50"/>
      <c r="I36" s="60"/>
      <c r="J36" s="50"/>
      <c r="K36" s="60"/>
      <c r="L36" s="50"/>
      <c r="M36" s="60"/>
      <c r="N36" s="50"/>
      <c r="O36" s="60"/>
      <c r="P36" s="50"/>
      <c r="Q36" s="60"/>
      <c r="R36" s="50"/>
      <c r="S36" s="60"/>
      <c r="T36" s="50"/>
      <c r="U36" s="60"/>
      <c r="V36" s="50"/>
      <c r="W36" s="60"/>
      <c r="X36" s="50"/>
      <c r="Y36" s="60"/>
      <c r="Z36" s="50"/>
      <c r="AA36" s="60"/>
      <c r="AB36" s="50"/>
      <c r="AC36" s="60"/>
      <c r="AD36" s="50"/>
      <c r="AE36" s="60"/>
      <c r="AF36" s="50"/>
      <c r="AG36" s="60"/>
      <c r="AH36" s="50"/>
      <c r="AI36" s="60"/>
    </row>
    <row r="37" spans="2:41">
      <c r="B37" s="47" t="s">
        <v>4216</v>
      </c>
      <c r="C37" s="41" t="s">
        <v>2919</v>
      </c>
      <c r="D37" s="60"/>
      <c r="E37" s="63"/>
      <c r="F37" s="50"/>
      <c r="G37" s="60"/>
      <c r="H37" s="50"/>
      <c r="I37" s="60"/>
      <c r="J37" s="50"/>
      <c r="K37" s="60"/>
      <c r="L37" s="50"/>
      <c r="M37" s="60"/>
      <c r="N37" s="50"/>
      <c r="O37" s="60"/>
      <c r="P37" s="50"/>
      <c r="Q37" s="60"/>
      <c r="R37" s="50"/>
      <c r="S37" s="60"/>
      <c r="T37" s="50"/>
      <c r="U37" s="60"/>
      <c r="V37" s="50"/>
      <c r="W37" s="60"/>
      <c r="X37" s="50"/>
      <c r="Y37" s="60"/>
      <c r="Z37" s="50"/>
      <c r="AA37" s="60"/>
      <c r="AB37" s="50"/>
      <c r="AC37" s="60"/>
      <c r="AD37" s="50"/>
      <c r="AE37" s="60"/>
      <c r="AF37" s="50"/>
      <c r="AG37" s="60"/>
      <c r="AH37" s="50"/>
      <c r="AI37" s="60"/>
    </row>
    <row r="38" spans="2:41">
      <c r="B38" s="47" t="s">
        <v>4217</v>
      </c>
      <c r="C38" s="41" t="s">
        <v>2921</v>
      </c>
      <c r="D38" s="65"/>
      <c r="E38" s="48"/>
      <c r="F38" s="50"/>
      <c r="G38" s="60"/>
      <c r="H38" s="50"/>
      <c r="I38" s="60"/>
      <c r="J38" s="50"/>
      <c r="K38" s="60"/>
      <c r="L38" s="50"/>
      <c r="M38" s="60"/>
      <c r="N38" s="50"/>
      <c r="O38" s="60"/>
      <c r="P38" s="50"/>
      <c r="Q38" s="60"/>
      <c r="R38" s="50"/>
      <c r="S38" s="60"/>
      <c r="T38" s="50"/>
      <c r="U38" s="60"/>
      <c r="V38" s="50"/>
      <c r="W38" s="60"/>
      <c r="X38" s="50"/>
      <c r="Y38" s="60"/>
      <c r="Z38" s="50"/>
      <c r="AA38" s="60"/>
      <c r="AB38" s="50"/>
      <c r="AC38" s="60"/>
      <c r="AD38" s="50"/>
      <c r="AE38" s="60"/>
      <c r="AF38" s="50"/>
      <c r="AG38" s="60"/>
      <c r="AH38" s="50"/>
      <c r="AI38" s="60"/>
    </row>
    <row r="39" spans="2:41">
      <c r="B39" s="47" t="s">
        <v>3480</v>
      </c>
      <c r="C39" s="44" t="s">
        <v>2939</v>
      </c>
      <c r="D39" s="56"/>
      <c r="E39" s="46"/>
      <c r="F39" s="50"/>
      <c r="G39" s="60"/>
      <c r="H39" s="50"/>
      <c r="I39" s="60"/>
      <c r="J39" s="50"/>
      <c r="K39" s="60"/>
      <c r="L39" s="50"/>
      <c r="M39" s="60"/>
      <c r="N39" s="50"/>
      <c r="O39" s="60"/>
      <c r="P39" s="50"/>
      <c r="Q39" s="60"/>
      <c r="R39" s="50"/>
      <c r="S39" s="60"/>
      <c r="T39" s="50"/>
      <c r="U39" s="60"/>
      <c r="V39" s="50"/>
      <c r="W39" s="60"/>
      <c r="X39" s="50"/>
      <c r="Y39" s="60"/>
      <c r="Z39" s="50"/>
      <c r="AA39" s="60"/>
      <c r="AB39" s="50"/>
      <c r="AC39" s="60"/>
      <c r="AD39" s="50"/>
      <c r="AE39" s="60"/>
      <c r="AF39" s="50"/>
      <c r="AG39" s="60"/>
      <c r="AH39" s="50"/>
      <c r="AI39" s="60"/>
    </row>
    <row r="41" spans="2:41">
      <c r="AN41" s="13" t="str">
        <f>Show!$B$90&amp;Show!$B$90&amp;"S.21.01.01.01 Rows {"&amp;COLUMN($C$1)&amp;"}"</f>
        <v>!!S.21.01.01.01 Rows {3}</v>
      </c>
      <c r="AO41" s="13" t="str">
        <f>Show!$B$90&amp;Show!$B$90&amp;"S.21.01.01.01 Columns {"&amp;COLUMN($AI$1)&amp;"}"</f>
        <v>!!S.21.01.01.01 Columns {35}</v>
      </c>
    </row>
  </sheetData>
  <sheetProtection sheet="1" objects="1" scenarios="1"/>
  <mergeCells count="3">
    <mergeCell ref="B2:O2"/>
    <mergeCell ref="B5:L5"/>
    <mergeCell ref="D13:AI14"/>
  </mergeCells>
  <dataValidations count="2">
    <dataValidation type="list" errorStyle="warning" allowBlank="1" showInputMessage="1" showErrorMessage="1" sqref="D9" xr:uid="{A3042CF5-8A44-4EDE-9A72-467B52062E84}">
      <formula1>hier_LB_30</formula1>
    </dataValidation>
    <dataValidation type="list" errorStyle="warning" allowBlank="1" showInputMessage="1" showErrorMessage="1" sqref="D10" xr:uid="{45DDB8DB-168B-404D-9262-20FD8DBEBA52}">
      <formula1>hier_AM_8</formula1>
    </dataValidation>
  </dataValidation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AF8EF-798E-4D28-8D44-D9D576066EC9}">
  <sheetPr codeName="Blad95"/>
  <dimension ref="B2:Y15"/>
  <sheetViews>
    <sheetView showGridLines="0" workbookViewId="0"/>
  </sheetViews>
  <sheetFormatPr defaultRowHeight="15"/>
  <cols>
    <col min="2" max="2" width="22.140625" bestFit="1" customWidth="1"/>
    <col min="3" max="6" width="40.7109375" customWidth="1"/>
    <col min="7" max="8" width="15.7109375" customWidth="1"/>
    <col min="9" max="9" width="40.7109375" customWidth="1"/>
    <col min="10" max="11" width="15.7109375" customWidth="1"/>
    <col min="12" max="12" width="40.7109375" customWidth="1"/>
    <col min="13" max="16" width="15.7109375" customWidth="1"/>
  </cols>
  <sheetData>
    <row r="2" spans="2:25" ht="23.25">
      <c r="B2" s="86" t="s">
        <v>649</v>
      </c>
      <c r="C2" s="87"/>
      <c r="D2" s="87"/>
      <c r="E2" s="87"/>
      <c r="F2" s="87"/>
      <c r="G2" s="87"/>
      <c r="H2" s="87"/>
      <c r="I2" s="87"/>
      <c r="J2" s="87"/>
      <c r="K2" s="87"/>
      <c r="L2" s="87"/>
      <c r="M2" s="87"/>
      <c r="N2" s="87"/>
      <c r="O2" s="87"/>
    </row>
    <row r="5" spans="2:25" ht="18.75">
      <c r="B5" s="88" t="s">
        <v>4218</v>
      </c>
      <c r="C5" s="87"/>
      <c r="D5" s="87"/>
      <c r="E5" s="87"/>
      <c r="F5" s="87"/>
      <c r="G5" s="87"/>
      <c r="H5" s="87"/>
      <c r="I5" s="87"/>
      <c r="J5" s="87"/>
      <c r="K5" s="87"/>
      <c r="L5" s="87"/>
    </row>
    <row r="9" spans="2:25">
      <c r="B9" s="89" t="s">
        <v>4219</v>
      </c>
      <c r="C9" s="92" t="s">
        <v>2877</v>
      </c>
      <c r="D9" s="93"/>
      <c r="E9" s="93"/>
      <c r="F9" s="93"/>
      <c r="G9" s="93"/>
      <c r="H9" s="93"/>
      <c r="I9" s="93"/>
      <c r="J9" s="93"/>
      <c r="K9" s="93"/>
      <c r="L9" s="93"/>
      <c r="M9" s="93"/>
      <c r="N9" s="93"/>
      <c r="O9" s="93"/>
      <c r="P9" s="94"/>
    </row>
    <row r="10" spans="2:25">
      <c r="B10" s="90"/>
      <c r="C10" s="95"/>
      <c r="D10" s="96"/>
      <c r="E10" s="96"/>
      <c r="F10" s="96"/>
      <c r="G10" s="96"/>
      <c r="H10" s="96"/>
      <c r="I10" s="96"/>
      <c r="J10" s="96"/>
      <c r="K10" s="96"/>
      <c r="L10" s="96"/>
      <c r="M10" s="96"/>
      <c r="N10" s="96"/>
      <c r="O10" s="96"/>
      <c r="P10" s="97"/>
    </row>
    <row r="11" spans="2:25" ht="75">
      <c r="B11" s="91"/>
      <c r="C11" s="55" t="s">
        <v>4220</v>
      </c>
      <c r="D11" s="55" t="s">
        <v>4221</v>
      </c>
      <c r="E11" s="55" t="s">
        <v>3427</v>
      </c>
      <c r="F11" s="55" t="s">
        <v>4222</v>
      </c>
      <c r="G11" s="55" t="s">
        <v>4223</v>
      </c>
      <c r="H11" s="55" t="s">
        <v>4224</v>
      </c>
      <c r="I11" s="55" t="s">
        <v>3606</v>
      </c>
      <c r="J11" s="55" t="s">
        <v>4225</v>
      </c>
      <c r="K11" s="55" t="s">
        <v>4226</v>
      </c>
      <c r="L11" s="55" t="s">
        <v>4227</v>
      </c>
      <c r="M11" s="55" t="s">
        <v>4228</v>
      </c>
      <c r="N11" s="55" t="s">
        <v>4229</v>
      </c>
      <c r="O11" s="55" t="s">
        <v>4230</v>
      </c>
      <c r="P11" s="55" t="s">
        <v>4231</v>
      </c>
    </row>
    <row r="12" spans="2:25">
      <c r="B12" s="42" t="s">
        <v>2879</v>
      </c>
      <c r="C12" s="42" t="s">
        <v>3219</v>
      </c>
      <c r="D12" s="42" t="s">
        <v>3225</v>
      </c>
      <c r="E12" s="42" t="s">
        <v>3223</v>
      </c>
      <c r="F12" s="42" t="s">
        <v>3229</v>
      </c>
      <c r="G12" s="42" t="s">
        <v>3231</v>
      </c>
      <c r="H12" s="42" t="s">
        <v>3233</v>
      </c>
      <c r="I12" s="42" t="s">
        <v>3234</v>
      </c>
      <c r="J12" s="42" t="s">
        <v>3236</v>
      </c>
      <c r="K12" s="42" t="s">
        <v>3239</v>
      </c>
      <c r="L12" s="42" t="s">
        <v>3241</v>
      </c>
      <c r="M12" s="42" t="s">
        <v>3243</v>
      </c>
      <c r="N12" s="42" t="s">
        <v>3375</v>
      </c>
      <c r="O12" s="42" t="s">
        <v>3475</v>
      </c>
      <c r="P12" s="42" t="s">
        <v>3477</v>
      </c>
      <c r="X12" s="13" t="str">
        <f>Show!$B$91&amp;"S.21.02.01.01 Rows {"&amp;COLUMN($B$1)&amp;"}"&amp;"@ForceFilingCode:true"</f>
        <v>!S.21.02.01.01 Rows {2}@ForceFilingCode:true</v>
      </c>
      <c r="Y12" s="13" t="str">
        <f>Show!$B$91&amp;"S.21.02.01.01 Columns {"&amp;COLUMN($B$1)&amp;"}"</f>
        <v>!S.21.02.01.01 Columns {2}</v>
      </c>
    </row>
    <row r="13" spans="2:25">
      <c r="B13" s="50"/>
      <c r="C13" s="51"/>
      <c r="D13" s="51"/>
      <c r="E13" s="51"/>
      <c r="F13" s="51"/>
      <c r="G13" s="54"/>
      <c r="H13" s="54"/>
      <c r="I13" s="51"/>
      <c r="J13" s="60"/>
      <c r="K13" s="60"/>
      <c r="L13" s="51"/>
      <c r="M13" s="60"/>
      <c r="N13" s="60"/>
      <c r="O13" s="60"/>
      <c r="P13" s="60"/>
    </row>
    <row r="15" spans="2:25">
      <c r="X15" s="13" t="str">
        <f>Show!$B$91&amp;Show!$B$91&amp;"S.21.02.01.01 Rows {"&amp;COLUMN($B$1)&amp;"}"</f>
        <v>!!S.21.02.01.01 Rows {2}</v>
      </c>
      <c r="Y15" s="13" t="str">
        <f>Show!$B$91&amp;Show!$B$91&amp;"S.21.02.01.01 Columns {"&amp;COLUMN($P$1)&amp;"}"</f>
        <v>!!S.21.02.01.01 Columns {16}</v>
      </c>
    </row>
  </sheetData>
  <sheetProtection sheet="1" objects="1" scenarios="1"/>
  <mergeCells count="4">
    <mergeCell ref="B2:O2"/>
    <mergeCell ref="B5:L5"/>
    <mergeCell ref="B9:B11"/>
    <mergeCell ref="C9:P10"/>
  </mergeCells>
  <dataValidations count="4">
    <dataValidation type="list" errorStyle="warning" allowBlank="1" showInputMessage="1" showErrorMessage="1" sqref="E13" xr:uid="{F8CFF1B3-B1BF-4F58-A4EE-535BAF582DDB}">
      <formula1>hier_LB_30</formula1>
    </dataValidation>
    <dataValidation type="date" operator="greaterThan" allowBlank="1" showInputMessage="1" showErrorMessage="1" errorTitle="Date value" error="This cell can only contain dates" sqref="G13:H13" xr:uid="{0EC53AC3-E174-4D6D-BCE5-25D113A6BA0C}">
      <formula1>1</formula1>
    </dataValidation>
    <dataValidation type="list" errorStyle="warning" allowBlank="1" showInputMessage="1" showErrorMessage="1" sqref="I13" xr:uid="{FA03BA52-24BE-421C-B539-3DFA52B5C13C}">
      <formula1>hier_CU_1</formula1>
    </dataValidation>
    <dataValidation type="list" errorStyle="warning" allowBlank="1" showInputMessage="1" showErrorMessage="1" sqref="L13" xr:uid="{FB25D0D3-F33D-4735-8D35-D4C051BAA4A5}">
      <formula1>hier_TB_3</formula1>
    </dataValidation>
  </dataValidation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B128B-0D7B-43B5-AC50-97B8C68619CD}">
  <sheetPr codeName="Blad96"/>
  <dimension ref="B2:O40"/>
  <sheetViews>
    <sheetView showGridLines="0" workbookViewId="0"/>
  </sheetViews>
  <sheetFormatPr defaultRowHeight="15"/>
  <cols>
    <col min="2" max="2" width="15.28515625" bestFit="1" customWidth="1"/>
    <col min="4" max="8" width="15.7109375" customWidth="1"/>
  </cols>
  <sheetData>
    <row r="2" spans="2:15" ht="23.25">
      <c r="B2" s="86" t="s">
        <v>651</v>
      </c>
      <c r="C2" s="87"/>
      <c r="D2" s="87"/>
      <c r="E2" s="87"/>
      <c r="F2" s="87"/>
      <c r="G2" s="87"/>
      <c r="H2" s="87"/>
      <c r="I2" s="87"/>
      <c r="J2" s="87"/>
      <c r="K2" s="87"/>
      <c r="L2" s="87"/>
      <c r="M2" s="87"/>
      <c r="N2" s="87"/>
      <c r="O2" s="87"/>
    </row>
    <row r="5" spans="2:15" ht="18.75">
      <c r="B5" s="88" t="s">
        <v>4232</v>
      </c>
      <c r="C5" s="87"/>
      <c r="D5" s="87"/>
      <c r="E5" s="87"/>
      <c r="F5" s="87"/>
      <c r="G5" s="87"/>
      <c r="H5" s="87"/>
      <c r="I5" s="87"/>
      <c r="J5" s="87"/>
      <c r="K5" s="87"/>
      <c r="L5" s="87"/>
    </row>
    <row r="7" spans="2:15">
      <c r="B7" t="s">
        <v>3110</v>
      </c>
      <c r="M7" s="13" t="str">
        <f>Show!$B$92&amp;"S.21.03.01.01 Table label {"&amp;COLUMN($C$1)&amp;"}"</f>
        <v>!S.21.03.01.01 Table label {3}</v>
      </c>
      <c r="N7" s="13" t="str">
        <f>Show!$B$92&amp;"S.21.03.01.01 Table value {"&amp;COLUMN($D$1)&amp;"}"</f>
        <v>!S.21.03.01.01 Table value {4}</v>
      </c>
    </row>
    <row r="8" spans="2:15">
      <c r="B8" t="s">
        <v>3111</v>
      </c>
    </row>
    <row r="9" spans="2:15">
      <c r="B9" s="40" t="s">
        <v>3427</v>
      </c>
      <c r="C9" s="53" t="s">
        <v>3113</v>
      </c>
      <c r="D9" s="51"/>
    </row>
    <row r="10" spans="2:15">
      <c r="M10" s="13" t="str">
        <f>Show!$B$92&amp;Show!$B$92&amp;"S.21.03.01.01 Table label {"&amp;COLUMN($C$1)&amp;"}"</f>
        <v>!!S.21.03.01.01 Table label {3}</v>
      </c>
      <c r="N10" s="13" t="str">
        <f>Show!$B$92&amp;Show!$B$92&amp;"S.21.03.01.01 Table value {"&amp;COLUMN($D$1)&amp;"}"</f>
        <v>!!S.21.03.01.01 Table value {4}</v>
      </c>
    </row>
    <row r="12" spans="2:15">
      <c r="D12" s="92" t="s">
        <v>2877</v>
      </c>
      <c r="E12" s="93"/>
      <c r="F12" s="93"/>
      <c r="G12" s="93"/>
      <c r="H12" s="94"/>
    </row>
    <row r="13" spans="2:15">
      <c r="D13" s="95"/>
      <c r="E13" s="96"/>
      <c r="F13" s="96"/>
      <c r="G13" s="96"/>
      <c r="H13" s="97"/>
    </row>
    <row r="14" spans="2:15" ht="45">
      <c r="D14" s="55" t="s">
        <v>4233</v>
      </c>
      <c r="E14" s="55" t="s">
        <v>4234</v>
      </c>
      <c r="F14" s="55" t="s">
        <v>4235</v>
      </c>
      <c r="G14" s="55" t="s">
        <v>4236</v>
      </c>
      <c r="H14" s="55" t="s">
        <v>4237</v>
      </c>
    </row>
    <row r="15" spans="2:15">
      <c r="D15" s="45" t="s">
        <v>3219</v>
      </c>
      <c r="E15" s="45" t="s">
        <v>3225</v>
      </c>
      <c r="F15" s="45" t="s">
        <v>3223</v>
      </c>
      <c r="G15" s="45" t="s">
        <v>3229</v>
      </c>
      <c r="H15" s="45" t="s">
        <v>3231</v>
      </c>
      <c r="M15" s="13" t="str">
        <f>Show!$B$92&amp;"S.21.03.01.01 Rows {"&amp;COLUMN($C$1)&amp;"}"&amp;"@ForceFilingCode:true"</f>
        <v>!S.21.03.01.01 Rows {3}@ForceFilingCode:true</v>
      </c>
      <c r="N15" s="13" t="str">
        <f>Show!$B$92&amp;"S.21.03.01.01 Columns {"&amp;COLUMN($D$1)&amp;"}"</f>
        <v>!S.21.03.01.01 Columns {4}</v>
      </c>
    </row>
    <row r="16" spans="2:15">
      <c r="B16" s="43" t="s">
        <v>2880</v>
      </c>
      <c r="C16" s="44" t="s">
        <v>2878</v>
      </c>
      <c r="D16" s="56"/>
      <c r="E16" s="66"/>
      <c r="F16" s="66"/>
      <c r="G16" s="66"/>
      <c r="H16" s="57"/>
    </row>
    <row r="17" spans="2:8">
      <c r="B17" s="47" t="s">
        <v>4197</v>
      </c>
      <c r="C17" s="41" t="s">
        <v>2883</v>
      </c>
      <c r="D17" s="60"/>
      <c r="E17" s="60"/>
      <c r="F17" s="50"/>
      <c r="G17" s="60"/>
      <c r="H17" s="60"/>
    </row>
    <row r="18" spans="2:8">
      <c r="B18" s="47" t="s">
        <v>4198</v>
      </c>
      <c r="C18" s="41" t="s">
        <v>2885</v>
      </c>
      <c r="D18" s="60"/>
      <c r="E18" s="60"/>
      <c r="F18" s="50"/>
      <c r="G18" s="60"/>
      <c r="H18" s="60"/>
    </row>
    <row r="19" spans="2:8">
      <c r="B19" s="47" t="s">
        <v>4199</v>
      </c>
      <c r="C19" s="41" t="s">
        <v>2887</v>
      </c>
      <c r="D19" s="60"/>
      <c r="E19" s="60"/>
      <c r="F19" s="50"/>
      <c r="G19" s="60"/>
      <c r="H19" s="60"/>
    </row>
    <row r="20" spans="2:8">
      <c r="B20" s="47" t="s">
        <v>4200</v>
      </c>
      <c r="C20" s="41" t="s">
        <v>2889</v>
      </c>
      <c r="D20" s="60"/>
      <c r="E20" s="60"/>
      <c r="F20" s="50"/>
      <c r="G20" s="60"/>
      <c r="H20" s="60"/>
    </row>
    <row r="21" spans="2:8">
      <c r="B21" s="47" t="s">
        <v>4201</v>
      </c>
      <c r="C21" s="41" t="s">
        <v>3078</v>
      </c>
      <c r="D21" s="60"/>
      <c r="E21" s="60"/>
      <c r="F21" s="50"/>
      <c r="G21" s="60"/>
      <c r="H21" s="60"/>
    </row>
    <row r="22" spans="2:8">
      <c r="B22" s="47" t="s">
        <v>4202</v>
      </c>
      <c r="C22" s="41" t="s">
        <v>2891</v>
      </c>
      <c r="D22" s="60"/>
      <c r="E22" s="60"/>
      <c r="F22" s="50"/>
      <c r="G22" s="60"/>
      <c r="H22" s="60"/>
    </row>
    <row r="23" spans="2:8">
      <c r="B23" s="47" t="s">
        <v>4203</v>
      </c>
      <c r="C23" s="41" t="s">
        <v>2893</v>
      </c>
      <c r="D23" s="60"/>
      <c r="E23" s="60"/>
      <c r="F23" s="50"/>
      <c r="G23" s="60"/>
      <c r="H23" s="60"/>
    </row>
    <row r="24" spans="2:8">
      <c r="B24" s="47" t="s">
        <v>4204</v>
      </c>
      <c r="C24" s="41" t="s">
        <v>2895</v>
      </c>
      <c r="D24" s="60"/>
      <c r="E24" s="60"/>
      <c r="F24" s="50"/>
      <c r="G24" s="60"/>
      <c r="H24" s="60"/>
    </row>
    <row r="25" spans="2:8">
      <c r="B25" s="47" t="s">
        <v>4205</v>
      </c>
      <c r="C25" s="41" t="s">
        <v>2897</v>
      </c>
      <c r="D25" s="60"/>
      <c r="E25" s="60"/>
      <c r="F25" s="50"/>
      <c r="G25" s="60"/>
      <c r="H25" s="60"/>
    </row>
    <row r="26" spans="2:8">
      <c r="B26" s="47" t="s">
        <v>4206</v>
      </c>
      <c r="C26" s="41" t="s">
        <v>2899</v>
      </c>
      <c r="D26" s="60"/>
      <c r="E26" s="60"/>
      <c r="F26" s="50"/>
      <c r="G26" s="60"/>
      <c r="H26" s="60"/>
    </row>
    <row r="27" spans="2:8">
      <c r="B27" s="47" t="s">
        <v>4207</v>
      </c>
      <c r="C27" s="41" t="s">
        <v>2901</v>
      </c>
      <c r="D27" s="60"/>
      <c r="E27" s="60"/>
      <c r="F27" s="50"/>
      <c r="G27" s="60"/>
      <c r="H27" s="60"/>
    </row>
    <row r="28" spans="2:8">
      <c r="B28" s="47" t="s">
        <v>4208</v>
      </c>
      <c r="C28" s="41" t="s">
        <v>2903</v>
      </c>
      <c r="D28" s="60"/>
      <c r="E28" s="60"/>
      <c r="F28" s="50"/>
      <c r="G28" s="60"/>
      <c r="H28" s="60"/>
    </row>
    <row r="29" spans="2:8">
      <c r="B29" s="47" t="s">
        <v>4209</v>
      </c>
      <c r="C29" s="41" t="s">
        <v>2905</v>
      </c>
      <c r="D29" s="60"/>
      <c r="E29" s="60"/>
      <c r="F29" s="50"/>
      <c r="G29" s="60"/>
      <c r="H29" s="60"/>
    </row>
    <row r="30" spans="2:8">
      <c r="B30" s="47" t="s">
        <v>4210</v>
      </c>
      <c r="C30" s="41" t="s">
        <v>2907</v>
      </c>
      <c r="D30" s="60"/>
      <c r="E30" s="60"/>
      <c r="F30" s="50"/>
      <c r="G30" s="60"/>
      <c r="H30" s="60"/>
    </row>
    <row r="31" spans="2:8">
      <c r="B31" s="47" t="s">
        <v>4211</v>
      </c>
      <c r="C31" s="41" t="s">
        <v>2909</v>
      </c>
      <c r="D31" s="60"/>
      <c r="E31" s="60"/>
      <c r="F31" s="50"/>
      <c r="G31" s="60"/>
      <c r="H31" s="60"/>
    </row>
    <row r="32" spans="2:8">
      <c r="B32" s="47" t="s">
        <v>4212</v>
      </c>
      <c r="C32" s="41" t="s">
        <v>2911</v>
      </c>
      <c r="D32" s="60"/>
      <c r="E32" s="60"/>
      <c r="F32" s="50"/>
      <c r="G32" s="60"/>
      <c r="H32" s="60"/>
    </row>
    <row r="33" spans="2:14">
      <c r="B33" s="47" t="s">
        <v>4213</v>
      </c>
      <c r="C33" s="41" t="s">
        <v>2913</v>
      </c>
      <c r="D33" s="60"/>
      <c r="E33" s="60"/>
      <c r="F33" s="50"/>
      <c r="G33" s="60"/>
      <c r="H33" s="60"/>
    </row>
    <row r="34" spans="2:14">
      <c r="B34" s="47" t="s">
        <v>4214</v>
      </c>
      <c r="C34" s="41" t="s">
        <v>2915</v>
      </c>
      <c r="D34" s="60"/>
      <c r="E34" s="60"/>
      <c r="F34" s="50"/>
      <c r="G34" s="60"/>
      <c r="H34" s="60"/>
    </row>
    <row r="35" spans="2:14">
      <c r="B35" s="47" t="s">
        <v>4215</v>
      </c>
      <c r="C35" s="41" t="s">
        <v>2917</v>
      </c>
      <c r="D35" s="60"/>
      <c r="E35" s="60"/>
      <c r="F35" s="50"/>
      <c r="G35" s="60"/>
      <c r="H35" s="60"/>
    </row>
    <row r="36" spans="2:14">
      <c r="B36" s="47" t="s">
        <v>4216</v>
      </c>
      <c r="C36" s="41" t="s">
        <v>2919</v>
      </c>
      <c r="D36" s="60"/>
      <c r="E36" s="63"/>
      <c r="F36" s="50"/>
      <c r="G36" s="60"/>
      <c r="H36" s="60"/>
    </row>
    <row r="37" spans="2:14">
      <c r="B37" s="47" t="s">
        <v>4217</v>
      </c>
      <c r="C37" s="41" t="s">
        <v>2921</v>
      </c>
      <c r="D37" s="65"/>
      <c r="E37" s="48"/>
      <c r="F37" s="50"/>
      <c r="G37" s="60"/>
      <c r="H37" s="60"/>
    </row>
    <row r="38" spans="2:14">
      <c r="B38" s="47" t="s">
        <v>3480</v>
      </c>
      <c r="C38" s="44" t="s">
        <v>2923</v>
      </c>
      <c r="D38" s="56"/>
      <c r="E38" s="46"/>
      <c r="F38" s="50"/>
      <c r="G38" s="60"/>
      <c r="H38" s="60"/>
    </row>
    <row r="40" spans="2:14">
      <c r="M40" s="13" t="str">
        <f>Show!$B$92&amp;Show!$B$92&amp;"S.21.03.01.01 Rows {"&amp;COLUMN($C$1)&amp;"}"</f>
        <v>!!S.21.03.01.01 Rows {3}</v>
      </c>
      <c r="N40" s="13" t="str">
        <f>Show!$B$92&amp;Show!$B$92&amp;"S.21.03.01.01 Columns {"&amp;COLUMN($H$1)&amp;"}"</f>
        <v>!!S.21.03.01.01 Columns {8}</v>
      </c>
    </row>
  </sheetData>
  <sheetProtection sheet="1" objects="1" scenarios="1"/>
  <mergeCells count="3">
    <mergeCell ref="B2:O2"/>
    <mergeCell ref="B5:L5"/>
    <mergeCell ref="D12:H13"/>
  </mergeCells>
  <dataValidations count="1">
    <dataValidation type="list" errorStyle="warning" allowBlank="1" showInputMessage="1" showErrorMessage="1" sqref="D9" xr:uid="{E30357D0-2609-4CA3-8ECC-B0C0F6BBD042}">
      <formula1>hier_LB_30</formula1>
    </dataValidation>
  </dataValidation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8F6F9-5439-47AF-94E0-470E6C9C6A0D}">
  <sheetPr codeName="Blad97"/>
  <dimension ref="B2:T27"/>
  <sheetViews>
    <sheetView showGridLines="0" workbookViewId="0"/>
  </sheetViews>
  <sheetFormatPr defaultRowHeight="15"/>
  <cols>
    <col min="2" max="2" width="63.28515625" bestFit="1" customWidth="1"/>
    <col min="4" max="13" width="15.7109375" customWidth="1"/>
  </cols>
  <sheetData>
    <row r="2" spans="2:20" ht="23.25">
      <c r="B2" s="86" t="s">
        <v>653</v>
      </c>
      <c r="C2" s="87"/>
      <c r="D2" s="87"/>
      <c r="E2" s="87"/>
      <c r="F2" s="87"/>
      <c r="G2" s="87"/>
      <c r="H2" s="87"/>
      <c r="I2" s="87"/>
      <c r="J2" s="87"/>
      <c r="K2" s="87"/>
      <c r="L2" s="87"/>
      <c r="M2" s="87"/>
      <c r="N2" s="87"/>
      <c r="O2" s="87"/>
    </row>
    <row r="5" spans="2:20" ht="18.75">
      <c r="B5" s="88" t="s">
        <v>4238</v>
      </c>
      <c r="C5" s="87"/>
      <c r="D5" s="87"/>
      <c r="E5" s="87"/>
      <c r="F5" s="87"/>
      <c r="G5" s="87"/>
      <c r="H5" s="87"/>
      <c r="I5" s="87"/>
      <c r="J5" s="87"/>
      <c r="K5" s="87"/>
      <c r="L5" s="87"/>
    </row>
    <row r="9" spans="2:20">
      <c r="D9" s="92" t="s">
        <v>2877</v>
      </c>
      <c r="E9" s="93"/>
      <c r="F9" s="93"/>
      <c r="G9" s="93"/>
      <c r="H9" s="93"/>
      <c r="I9" s="93"/>
      <c r="J9" s="93"/>
      <c r="K9" s="93"/>
      <c r="L9" s="93"/>
      <c r="M9" s="94"/>
    </row>
    <row r="10" spans="2:20">
      <c r="D10" s="95"/>
      <c r="E10" s="96"/>
      <c r="F10" s="96"/>
      <c r="G10" s="96"/>
      <c r="H10" s="96"/>
      <c r="I10" s="96"/>
      <c r="J10" s="96"/>
      <c r="K10" s="96"/>
      <c r="L10" s="96"/>
      <c r="M10" s="97"/>
    </row>
    <row r="11" spans="2:20">
      <c r="D11" s="89" t="s">
        <v>4239</v>
      </c>
      <c r="E11" s="98" t="s">
        <v>4240</v>
      </c>
      <c r="F11" s="100"/>
      <c r="G11" s="100"/>
      <c r="H11" s="100"/>
      <c r="I11" s="100"/>
      <c r="J11" s="100"/>
      <c r="K11" s="100"/>
      <c r="L11" s="100"/>
      <c r="M11" s="99"/>
    </row>
    <row r="12" spans="2:20" ht="90">
      <c r="D12" s="91"/>
      <c r="E12" s="55" t="s">
        <v>4241</v>
      </c>
      <c r="F12" s="55" t="s">
        <v>4242</v>
      </c>
      <c r="G12" s="55" t="s">
        <v>4243</v>
      </c>
      <c r="H12" s="55" t="s">
        <v>4244</v>
      </c>
      <c r="I12" s="55" t="s">
        <v>4245</v>
      </c>
      <c r="J12" s="55" t="s">
        <v>4246</v>
      </c>
      <c r="K12" s="55" t="s">
        <v>4247</v>
      </c>
      <c r="L12" s="55" t="s">
        <v>4248</v>
      </c>
      <c r="M12" s="55" t="s">
        <v>4249</v>
      </c>
    </row>
    <row r="13" spans="2:20">
      <c r="D13" s="45" t="s">
        <v>2879</v>
      </c>
      <c r="E13" s="45" t="s">
        <v>3219</v>
      </c>
      <c r="F13" s="45" t="s">
        <v>3225</v>
      </c>
      <c r="G13" s="45" t="s">
        <v>3223</v>
      </c>
      <c r="H13" s="45" t="s">
        <v>3229</v>
      </c>
      <c r="I13" s="45" t="s">
        <v>3231</v>
      </c>
      <c r="J13" s="45" t="s">
        <v>3233</v>
      </c>
      <c r="K13" s="45" t="s">
        <v>3234</v>
      </c>
      <c r="L13" s="45" t="s">
        <v>3236</v>
      </c>
      <c r="M13" s="45" t="s">
        <v>3239</v>
      </c>
      <c r="S13" s="13" t="str">
        <f>Show!$B$93&amp;"S.22.01.01.01 Rows {"&amp;COLUMN($C$1)&amp;"}"&amp;"@ForceFilingCode:true"</f>
        <v>!S.22.01.01.01 Rows {3}@ForceFilingCode:true</v>
      </c>
      <c r="T13" s="13" t="str">
        <f>Show!$B$93&amp;"S.22.01.01.01 Columns {"&amp;COLUMN($D$1)&amp;"}"</f>
        <v>!S.22.01.01.01 Columns {4}</v>
      </c>
    </row>
    <row r="14" spans="2:20">
      <c r="B14" s="43" t="s">
        <v>2880</v>
      </c>
      <c r="C14" s="44" t="s">
        <v>2878</v>
      </c>
      <c r="D14" s="56"/>
      <c r="E14" s="66"/>
      <c r="F14" s="66"/>
      <c r="G14" s="66"/>
      <c r="H14" s="66"/>
      <c r="I14" s="66"/>
      <c r="J14" s="66"/>
      <c r="K14" s="66"/>
      <c r="L14" s="66"/>
      <c r="M14" s="57"/>
    </row>
    <row r="15" spans="2:20">
      <c r="B15" s="47" t="s">
        <v>4250</v>
      </c>
      <c r="C15" s="41" t="s">
        <v>2883</v>
      </c>
      <c r="D15" s="60"/>
      <c r="E15" s="60"/>
      <c r="F15" s="60"/>
      <c r="G15" s="60"/>
      <c r="H15" s="60"/>
      <c r="I15" s="60"/>
      <c r="J15" s="60"/>
      <c r="K15" s="60"/>
      <c r="L15" s="60"/>
      <c r="M15" s="60"/>
    </row>
    <row r="16" spans="2:20">
      <c r="B16" s="47" t="s">
        <v>4251</v>
      </c>
      <c r="C16" s="41" t="s">
        <v>2885</v>
      </c>
      <c r="D16" s="60"/>
      <c r="E16" s="60"/>
      <c r="F16" s="60"/>
      <c r="G16" s="60"/>
      <c r="H16" s="60"/>
      <c r="I16" s="60"/>
      <c r="J16" s="60"/>
      <c r="K16" s="60"/>
      <c r="L16" s="60"/>
      <c r="M16" s="60"/>
    </row>
    <row r="17" spans="2:20">
      <c r="B17" s="49" t="s">
        <v>3314</v>
      </c>
      <c r="C17" s="41" t="s">
        <v>2887</v>
      </c>
      <c r="D17" s="60"/>
      <c r="E17" s="60"/>
      <c r="F17" s="60"/>
      <c r="G17" s="60"/>
      <c r="H17" s="60"/>
      <c r="I17" s="60"/>
      <c r="J17" s="60"/>
      <c r="K17" s="60"/>
      <c r="L17" s="60"/>
      <c r="M17" s="60"/>
    </row>
    <row r="18" spans="2:20">
      <c r="B18" s="49" t="s">
        <v>4252</v>
      </c>
      <c r="C18" s="41" t="s">
        <v>2889</v>
      </c>
      <c r="D18" s="60"/>
      <c r="E18" s="60"/>
      <c r="F18" s="60"/>
      <c r="G18" s="60"/>
      <c r="H18" s="60"/>
      <c r="I18" s="60"/>
      <c r="J18" s="60"/>
      <c r="K18" s="60"/>
      <c r="L18" s="60"/>
      <c r="M18" s="60"/>
    </row>
    <row r="19" spans="2:20">
      <c r="B19" s="47" t="s">
        <v>4253</v>
      </c>
      <c r="C19" s="41" t="s">
        <v>3078</v>
      </c>
      <c r="D19" s="60"/>
      <c r="E19" s="60"/>
      <c r="F19" s="60"/>
      <c r="G19" s="60"/>
      <c r="H19" s="60"/>
      <c r="I19" s="60"/>
      <c r="J19" s="60"/>
      <c r="K19" s="60"/>
      <c r="L19" s="60"/>
      <c r="M19" s="60"/>
    </row>
    <row r="20" spans="2:20">
      <c r="B20" s="49" t="s">
        <v>2545</v>
      </c>
      <c r="C20" s="41" t="s">
        <v>2891</v>
      </c>
      <c r="D20" s="60"/>
      <c r="E20" s="60"/>
      <c r="F20" s="60"/>
      <c r="G20" s="60"/>
      <c r="H20" s="60"/>
      <c r="I20" s="60"/>
      <c r="J20" s="60"/>
      <c r="K20" s="60"/>
      <c r="L20" s="60"/>
      <c r="M20" s="60"/>
    </row>
    <row r="21" spans="2:20">
      <c r="B21" s="49" t="s">
        <v>2548</v>
      </c>
      <c r="C21" s="41" t="s">
        <v>2893</v>
      </c>
      <c r="D21" s="60"/>
      <c r="E21" s="60"/>
      <c r="F21" s="60"/>
      <c r="G21" s="60"/>
      <c r="H21" s="60"/>
      <c r="I21" s="60"/>
      <c r="J21" s="60"/>
      <c r="K21" s="60"/>
      <c r="L21" s="60"/>
      <c r="M21" s="60"/>
    </row>
    <row r="22" spans="2:20">
      <c r="B22" s="49" t="s">
        <v>2549</v>
      </c>
      <c r="C22" s="41" t="s">
        <v>2895</v>
      </c>
      <c r="D22" s="60"/>
      <c r="E22" s="60"/>
      <c r="F22" s="60"/>
      <c r="G22" s="60"/>
      <c r="H22" s="60"/>
      <c r="I22" s="60"/>
      <c r="J22" s="60"/>
      <c r="K22" s="60"/>
      <c r="L22" s="60"/>
      <c r="M22" s="60"/>
    </row>
    <row r="23" spans="2:20">
      <c r="B23" s="47" t="s">
        <v>711</v>
      </c>
      <c r="C23" s="41" t="s">
        <v>2897</v>
      </c>
      <c r="D23" s="60"/>
      <c r="E23" s="60"/>
      <c r="F23" s="60"/>
      <c r="G23" s="60"/>
      <c r="H23" s="60"/>
      <c r="I23" s="60"/>
      <c r="J23" s="60"/>
      <c r="K23" s="60"/>
      <c r="L23" s="60"/>
      <c r="M23" s="60"/>
    </row>
    <row r="24" spans="2:20">
      <c r="B24" s="47" t="s">
        <v>4254</v>
      </c>
      <c r="C24" s="41" t="s">
        <v>2899</v>
      </c>
      <c r="D24" s="60"/>
      <c r="E24" s="60"/>
      <c r="F24" s="60"/>
      <c r="G24" s="60"/>
      <c r="H24" s="60"/>
      <c r="I24" s="60"/>
      <c r="J24" s="60"/>
      <c r="K24" s="60"/>
      <c r="L24" s="60"/>
      <c r="M24" s="60"/>
    </row>
    <row r="25" spans="2:20">
      <c r="B25" s="47" t="s">
        <v>4255</v>
      </c>
      <c r="C25" s="41" t="s">
        <v>2901</v>
      </c>
      <c r="D25" s="60"/>
      <c r="E25" s="60"/>
      <c r="F25" s="60"/>
      <c r="G25" s="60"/>
      <c r="H25" s="60"/>
      <c r="I25" s="60"/>
      <c r="J25" s="60"/>
      <c r="K25" s="60"/>
      <c r="L25" s="60"/>
      <c r="M25" s="60"/>
    </row>
    <row r="27" spans="2:20">
      <c r="S27" s="13" t="str">
        <f>Show!$B$93&amp;Show!$B$93&amp;"S.22.01.01.01 Rows {"&amp;COLUMN($C$1)&amp;"}"</f>
        <v>!!S.22.01.01.01 Rows {3}</v>
      </c>
      <c r="T27" s="13" t="str">
        <f>Show!$B$93&amp;Show!$B$93&amp;"S.22.01.01.01 Columns {"&amp;COLUMN($M$1)&amp;"}"</f>
        <v>!!S.22.01.01.01 Columns {13}</v>
      </c>
    </row>
  </sheetData>
  <sheetProtection sheet="1" objects="1" scenarios="1"/>
  <mergeCells count="5">
    <mergeCell ref="B2:O2"/>
    <mergeCell ref="B5:L5"/>
    <mergeCell ref="D9:M10"/>
    <mergeCell ref="D11:D12"/>
    <mergeCell ref="E11:M11"/>
  </mergeCell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CAC0E-E77C-4C39-83B0-C24184E5239F}">
  <sheetPr codeName="Blad98"/>
  <dimension ref="B2:T25"/>
  <sheetViews>
    <sheetView showGridLines="0" workbookViewId="0"/>
  </sheetViews>
  <sheetFormatPr defaultRowHeight="15"/>
  <cols>
    <col min="2" max="2" width="63.28515625" bestFit="1" customWidth="1"/>
    <col min="4" max="13" width="15.7109375" customWidth="1"/>
  </cols>
  <sheetData>
    <row r="2" spans="2:20" ht="23.25">
      <c r="B2" s="86" t="s">
        <v>653</v>
      </c>
      <c r="C2" s="87"/>
      <c r="D2" s="87"/>
      <c r="E2" s="87"/>
      <c r="F2" s="87"/>
      <c r="G2" s="87"/>
      <c r="H2" s="87"/>
      <c r="I2" s="87"/>
      <c r="J2" s="87"/>
      <c r="K2" s="87"/>
      <c r="L2" s="87"/>
      <c r="M2" s="87"/>
      <c r="N2" s="87"/>
      <c r="O2" s="87"/>
    </row>
    <row r="5" spans="2:20" ht="18.75">
      <c r="B5" s="88" t="s">
        <v>4256</v>
      </c>
      <c r="C5" s="87"/>
      <c r="D5" s="87"/>
      <c r="E5" s="87"/>
      <c r="F5" s="87"/>
      <c r="G5" s="87"/>
      <c r="H5" s="87"/>
      <c r="I5" s="87"/>
      <c r="J5" s="87"/>
      <c r="K5" s="87"/>
      <c r="L5" s="87"/>
    </row>
    <row r="9" spans="2:20">
      <c r="D9" s="92" t="s">
        <v>2877</v>
      </c>
      <c r="E9" s="93"/>
      <c r="F9" s="93"/>
      <c r="G9" s="93"/>
      <c r="H9" s="93"/>
      <c r="I9" s="93"/>
      <c r="J9" s="93"/>
      <c r="K9" s="93"/>
      <c r="L9" s="93"/>
      <c r="M9" s="94"/>
    </row>
    <row r="10" spans="2:20">
      <c r="D10" s="95"/>
      <c r="E10" s="96"/>
      <c r="F10" s="96"/>
      <c r="G10" s="96"/>
      <c r="H10" s="96"/>
      <c r="I10" s="96"/>
      <c r="J10" s="96"/>
      <c r="K10" s="96"/>
      <c r="L10" s="96"/>
      <c r="M10" s="97"/>
    </row>
    <row r="11" spans="2:20">
      <c r="D11" s="89" t="s">
        <v>4239</v>
      </c>
      <c r="E11" s="98" t="s">
        <v>4240</v>
      </c>
      <c r="F11" s="100"/>
      <c r="G11" s="100"/>
      <c r="H11" s="100"/>
      <c r="I11" s="100"/>
      <c r="J11" s="100"/>
      <c r="K11" s="100"/>
      <c r="L11" s="100"/>
      <c r="M11" s="99"/>
    </row>
    <row r="12" spans="2:20" ht="90">
      <c r="D12" s="91"/>
      <c r="E12" s="55" t="s">
        <v>4241</v>
      </c>
      <c r="F12" s="55" t="s">
        <v>4242</v>
      </c>
      <c r="G12" s="55" t="s">
        <v>4243</v>
      </c>
      <c r="H12" s="55" t="s">
        <v>4244</v>
      </c>
      <c r="I12" s="55" t="s">
        <v>4245</v>
      </c>
      <c r="J12" s="55" t="s">
        <v>4246</v>
      </c>
      <c r="K12" s="55" t="s">
        <v>4247</v>
      </c>
      <c r="L12" s="55" t="s">
        <v>4248</v>
      </c>
      <c r="M12" s="55" t="s">
        <v>4249</v>
      </c>
    </row>
    <row r="13" spans="2:20">
      <c r="D13" s="45" t="s">
        <v>2879</v>
      </c>
      <c r="E13" s="45" t="s">
        <v>3219</v>
      </c>
      <c r="F13" s="45" t="s">
        <v>3225</v>
      </c>
      <c r="G13" s="45" t="s">
        <v>3223</v>
      </c>
      <c r="H13" s="45" t="s">
        <v>3229</v>
      </c>
      <c r="I13" s="45" t="s">
        <v>3231</v>
      </c>
      <c r="J13" s="45" t="s">
        <v>3233</v>
      </c>
      <c r="K13" s="45" t="s">
        <v>3234</v>
      </c>
      <c r="L13" s="45" t="s">
        <v>3236</v>
      </c>
      <c r="M13" s="45" t="s">
        <v>3239</v>
      </c>
      <c r="S13" s="13" t="str">
        <f>Show!$B$94&amp;"S.22.01.04.01 Rows {"&amp;COLUMN($C$1)&amp;"}"&amp;"@ForceFilingCode:true"</f>
        <v>!S.22.01.04.01 Rows {3}@ForceFilingCode:true</v>
      </c>
      <c r="T13" s="13" t="str">
        <f>Show!$B$94&amp;"S.22.01.04.01 Columns {"&amp;COLUMN($D$1)&amp;"}"</f>
        <v>!S.22.01.04.01 Columns {4}</v>
      </c>
    </row>
    <row r="14" spans="2:20">
      <c r="B14" s="43" t="s">
        <v>2880</v>
      </c>
      <c r="C14" s="44" t="s">
        <v>2878</v>
      </c>
      <c r="D14" s="56"/>
      <c r="E14" s="66"/>
      <c r="F14" s="66"/>
      <c r="G14" s="66"/>
      <c r="H14" s="66"/>
      <c r="I14" s="66"/>
      <c r="J14" s="66"/>
      <c r="K14" s="66"/>
      <c r="L14" s="66"/>
      <c r="M14" s="57"/>
    </row>
    <row r="15" spans="2:20">
      <c r="B15" s="47" t="s">
        <v>4250</v>
      </c>
      <c r="C15" s="41" t="s">
        <v>2883</v>
      </c>
      <c r="D15" s="60"/>
      <c r="E15" s="60"/>
      <c r="F15" s="60"/>
      <c r="G15" s="60"/>
      <c r="H15" s="60"/>
      <c r="I15" s="60"/>
      <c r="J15" s="60"/>
      <c r="K15" s="60"/>
      <c r="L15" s="60"/>
      <c r="M15" s="60"/>
    </row>
    <row r="16" spans="2:20">
      <c r="B16" s="47" t="s">
        <v>4251</v>
      </c>
      <c r="C16" s="41" t="s">
        <v>2885</v>
      </c>
      <c r="D16" s="60"/>
      <c r="E16" s="60"/>
      <c r="F16" s="60"/>
      <c r="G16" s="60"/>
      <c r="H16" s="60"/>
      <c r="I16" s="60"/>
      <c r="J16" s="60"/>
      <c r="K16" s="60"/>
      <c r="L16" s="60"/>
      <c r="M16" s="60"/>
    </row>
    <row r="17" spans="2:20">
      <c r="B17" s="49" t="s">
        <v>3314</v>
      </c>
      <c r="C17" s="41" t="s">
        <v>2887</v>
      </c>
      <c r="D17" s="60"/>
      <c r="E17" s="60"/>
      <c r="F17" s="60"/>
      <c r="G17" s="60"/>
      <c r="H17" s="60"/>
      <c r="I17" s="60"/>
      <c r="J17" s="60"/>
      <c r="K17" s="60"/>
      <c r="L17" s="60"/>
      <c r="M17" s="60"/>
    </row>
    <row r="18" spans="2:20">
      <c r="B18" s="49" t="s">
        <v>4252</v>
      </c>
      <c r="C18" s="41" t="s">
        <v>2889</v>
      </c>
      <c r="D18" s="60"/>
      <c r="E18" s="60"/>
      <c r="F18" s="60"/>
      <c r="G18" s="60"/>
      <c r="H18" s="60"/>
      <c r="I18" s="60"/>
      <c r="J18" s="60"/>
      <c r="K18" s="60"/>
      <c r="L18" s="60"/>
      <c r="M18" s="60"/>
    </row>
    <row r="19" spans="2:20">
      <c r="B19" s="47" t="s">
        <v>4253</v>
      </c>
      <c r="C19" s="41" t="s">
        <v>3078</v>
      </c>
      <c r="D19" s="60"/>
      <c r="E19" s="60"/>
      <c r="F19" s="60"/>
      <c r="G19" s="60"/>
      <c r="H19" s="60"/>
      <c r="I19" s="60"/>
      <c r="J19" s="60"/>
      <c r="K19" s="60"/>
      <c r="L19" s="60"/>
      <c r="M19" s="60"/>
    </row>
    <row r="20" spans="2:20">
      <c r="B20" s="49" t="s">
        <v>2545</v>
      </c>
      <c r="C20" s="41" t="s">
        <v>2891</v>
      </c>
      <c r="D20" s="60"/>
      <c r="E20" s="60"/>
      <c r="F20" s="60"/>
      <c r="G20" s="60"/>
      <c r="H20" s="60"/>
      <c r="I20" s="60"/>
      <c r="J20" s="60"/>
      <c r="K20" s="60"/>
      <c r="L20" s="60"/>
      <c r="M20" s="60"/>
    </row>
    <row r="21" spans="2:20">
      <c r="B21" s="49" t="s">
        <v>2548</v>
      </c>
      <c r="C21" s="41" t="s">
        <v>2893</v>
      </c>
      <c r="D21" s="60"/>
      <c r="E21" s="60"/>
      <c r="F21" s="60"/>
      <c r="G21" s="60"/>
      <c r="H21" s="60"/>
      <c r="I21" s="60"/>
      <c r="J21" s="60"/>
      <c r="K21" s="60"/>
      <c r="L21" s="60"/>
      <c r="M21" s="60"/>
    </row>
    <row r="22" spans="2:20">
      <c r="B22" s="49" t="s">
        <v>2549</v>
      </c>
      <c r="C22" s="41" t="s">
        <v>2895</v>
      </c>
      <c r="D22" s="60"/>
      <c r="E22" s="60"/>
      <c r="F22" s="60"/>
      <c r="G22" s="60"/>
      <c r="H22" s="60"/>
      <c r="I22" s="60"/>
      <c r="J22" s="60"/>
      <c r="K22" s="60"/>
      <c r="L22" s="60"/>
      <c r="M22" s="60"/>
    </row>
    <row r="23" spans="2:20">
      <c r="B23" s="47" t="s">
        <v>711</v>
      </c>
      <c r="C23" s="41" t="s">
        <v>2897</v>
      </c>
      <c r="D23" s="60"/>
      <c r="E23" s="60"/>
      <c r="F23" s="60"/>
      <c r="G23" s="60"/>
      <c r="H23" s="60"/>
      <c r="I23" s="60"/>
      <c r="J23" s="60"/>
      <c r="K23" s="60"/>
      <c r="L23" s="60"/>
      <c r="M23" s="60"/>
    </row>
    <row r="25" spans="2:20">
      <c r="S25" s="13" t="str">
        <f>Show!$B$94&amp;Show!$B$94&amp;"S.22.01.04.01 Rows {"&amp;COLUMN($C$1)&amp;"}"</f>
        <v>!!S.22.01.04.01 Rows {3}</v>
      </c>
      <c r="T25" s="13" t="str">
        <f>Show!$B$94&amp;Show!$B$94&amp;"S.22.01.04.01 Columns {"&amp;COLUMN($M$1)&amp;"}"</f>
        <v>!!S.22.01.04.01 Columns {13}</v>
      </c>
    </row>
  </sheetData>
  <sheetProtection sheet="1" objects="1" scenarios="1"/>
  <mergeCells count="5">
    <mergeCell ref="B2:O2"/>
    <mergeCell ref="B5:L5"/>
    <mergeCell ref="D9:M10"/>
    <mergeCell ref="D11:D12"/>
    <mergeCell ref="E11:M11"/>
  </mergeCell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D3FB2-808F-4F1D-8E9F-1B3D9B729C1E}">
  <sheetPr codeName="Blad99"/>
  <dimension ref="B2:O21"/>
  <sheetViews>
    <sheetView showGridLines="0" workbookViewId="0">
      <selection activeCell="D15" sqref="D15"/>
    </sheetView>
  </sheetViews>
  <sheetFormatPr defaultRowHeight="15"/>
  <cols>
    <col min="2" max="2" width="56.5703125" bestFit="1" customWidth="1"/>
    <col min="4" max="8" width="15.7109375" customWidth="1"/>
  </cols>
  <sheetData>
    <row r="2" spans="2:15" ht="23.25">
      <c r="B2" s="86" t="s">
        <v>653</v>
      </c>
      <c r="C2" s="87"/>
      <c r="D2" s="87"/>
      <c r="E2" s="87"/>
      <c r="F2" s="87"/>
      <c r="G2" s="87"/>
      <c r="H2" s="87"/>
      <c r="I2" s="87"/>
      <c r="J2" s="87"/>
      <c r="K2" s="87"/>
      <c r="L2" s="87"/>
      <c r="M2" s="87"/>
      <c r="N2" s="87"/>
      <c r="O2" s="87"/>
    </row>
    <row r="5" spans="2:15" ht="18.75">
      <c r="B5" s="88" t="s">
        <v>4257</v>
      </c>
      <c r="C5" s="87"/>
      <c r="D5" s="87"/>
      <c r="E5" s="87"/>
      <c r="F5" s="87"/>
      <c r="G5" s="87"/>
      <c r="H5" s="87"/>
      <c r="I5" s="87"/>
      <c r="J5" s="87"/>
      <c r="K5" s="87"/>
      <c r="L5" s="87"/>
    </row>
    <row r="9" spans="2:15">
      <c r="D9" s="92" t="s">
        <v>2877</v>
      </c>
      <c r="E9" s="93"/>
      <c r="F9" s="93"/>
      <c r="G9" s="93"/>
      <c r="H9" s="94"/>
    </row>
    <row r="10" spans="2:15">
      <c r="D10" s="95"/>
      <c r="E10" s="96"/>
      <c r="F10" s="96"/>
      <c r="G10" s="96"/>
      <c r="H10" s="97"/>
    </row>
    <row r="11" spans="2:15" ht="75">
      <c r="D11" s="55" t="s">
        <v>4239</v>
      </c>
      <c r="E11" s="55" t="s">
        <v>4242</v>
      </c>
      <c r="F11" s="55" t="s">
        <v>4244</v>
      </c>
      <c r="G11" s="55" t="s">
        <v>4246</v>
      </c>
      <c r="H11" s="55" t="s">
        <v>4248</v>
      </c>
    </row>
    <row r="12" spans="2:15">
      <c r="D12" s="45" t="s">
        <v>2879</v>
      </c>
      <c r="E12" s="45" t="s">
        <v>3225</v>
      </c>
      <c r="F12" s="45" t="s">
        <v>3229</v>
      </c>
      <c r="G12" s="45" t="s">
        <v>3233</v>
      </c>
      <c r="H12" s="45" t="s">
        <v>3236</v>
      </c>
      <c r="M12" s="13"/>
      <c r="N12" s="13"/>
    </row>
    <row r="13" spans="2:15">
      <c r="B13" s="43" t="s">
        <v>2880</v>
      </c>
      <c r="C13" s="44" t="s">
        <v>2878</v>
      </c>
      <c r="D13" s="56"/>
      <c r="E13" s="66"/>
      <c r="F13" s="66"/>
      <c r="G13" s="66"/>
      <c r="H13" s="57"/>
    </row>
    <row r="14" spans="2:15">
      <c r="B14" s="47" t="s">
        <v>4250</v>
      </c>
      <c r="C14" s="41" t="s">
        <v>2883</v>
      </c>
      <c r="D14" s="60">
        <v>1434002373.5095856</v>
      </c>
      <c r="E14" s="60">
        <v>0</v>
      </c>
      <c r="F14" s="60">
        <v>0</v>
      </c>
      <c r="G14" s="60">
        <v>11889278.890786409</v>
      </c>
      <c r="H14" s="60">
        <v>0</v>
      </c>
    </row>
    <row r="15" spans="2:15">
      <c r="B15" s="47" t="s">
        <v>4251</v>
      </c>
      <c r="C15" s="41" t="s">
        <v>2885</v>
      </c>
      <c r="D15" s="60">
        <v>5980762647.399106</v>
      </c>
      <c r="E15" s="60">
        <v>0</v>
      </c>
      <c r="F15" s="60">
        <v>0</v>
      </c>
      <c r="G15" s="60">
        <v>-9481224.1032524109</v>
      </c>
      <c r="H15" s="60">
        <v>0</v>
      </c>
    </row>
    <row r="16" spans="2:15">
      <c r="B16" s="47" t="s">
        <v>4253</v>
      </c>
      <c r="C16" s="41" t="s">
        <v>3078</v>
      </c>
      <c r="D16" s="60">
        <v>5954647305.3833675</v>
      </c>
      <c r="E16" s="60">
        <v>0</v>
      </c>
      <c r="F16" s="60">
        <v>0</v>
      </c>
      <c r="G16" s="60">
        <v>-9523024.5695762634</v>
      </c>
      <c r="H16" s="60">
        <v>0</v>
      </c>
    </row>
    <row r="17" spans="2:14">
      <c r="B17" s="47" t="s">
        <v>711</v>
      </c>
      <c r="C17" s="41" t="s">
        <v>2897</v>
      </c>
      <c r="D17" s="60">
        <v>1557238076.6152849</v>
      </c>
      <c r="E17" s="60">
        <v>0</v>
      </c>
      <c r="F17" s="60">
        <v>0</v>
      </c>
      <c r="G17" s="60">
        <v>-83600.932646989822</v>
      </c>
      <c r="H17" s="60">
        <v>0</v>
      </c>
    </row>
    <row r="18" spans="2:14">
      <c r="B18" s="47" t="s">
        <v>4254</v>
      </c>
      <c r="C18" s="41" t="s">
        <v>2899</v>
      </c>
      <c r="D18" s="60">
        <v>5253890170.9064884</v>
      </c>
      <c r="E18" s="60">
        <v>0</v>
      </c>
      <c r="F18" s="60">
        <v>0</v>
      </c>
      <c r="G18" s="60">
        <v>-9485404.1498842239</v>
      </c>
      <c r="H18" s="60">
        <v>0</v>
      </c>
    </row>
    <row r="19" spans="2:14">
      <c r="B19" s="47" t="s">
        <v>4255</v>
      </c>
      <c r="C19" s="41" t="s">
        <v>2901</v>
      </c>
      <c r="D19" s="60">
        <v>389309519.15382123</v>
      </c>
      <c r="E19" s="60">
        <v>0</v>
      </c>
      <c r="F19" s="60">
        <v>0</v>
      </c>
      <c r="G19" s="60">
        <v>-20900.233161747456</v>
      </c>
      <c r="H19" s="60">
        <v>0</v>
      </c>
    </row>
    <row r="21" spans="2:14">
      <c r="M21" s="13"/>
      <c r="N21" s="13"/>
    </row>
  </sheetData>
  <mergeCells count="3">
    <mergeCell ref="B2:O2"/>
    <mergeCell ref="B5:L5"/>
    <mergeCell ref="D9:H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201</vt:i4>
      </vt:variant>
      <vt:variant>
        <vt:lpstr>Named Ranges</vt:lpstr>
      </vt:variant>
      <vt:variant>
        <vt:i4>511</vt:i4>
      </vt:variant>
    </vt:vector>
  </HeadingPairs>
  <TitlesOfParts>
    <vt:vector size="712" baseType="lpstr">
      <vt:lpstr>General data</vt:lpstr>
      <vt:lpstr>XBRL Errors</vt:lpstr>
      <vt:lpstr>Index</vt:lpstr>
      <vt:lpstr>Show</vt:lpstr>
      <vt:lpstr>Hierarchies</vt:lpstr>
      <vt:lpstr>S.01.01.01</vt:lpstr>
      <vt:lpstr>S.01.01.02</vt:lpstr>
      <vt:lpstr>S.01.01.04</vt:lpstr>
      <vt:lpstr>S.01.01.05</vt:lpstr>
      <vt:lpstr>S.01.01.07</vt:lpstr>
      <vt:lpstr>S.01.01.08</vt:lpstr>
      <vt:lpstr>S.01.01.10</vt:lpstr>
      <vt:lpstr>S.01.01.11</vt:lpstr>
      <vt:lpstr>S.01.01.12</vt:lpstr>
      <vt:lpstr>S.01.01.13</vt:lpstr>
      <vt:lpstr>S.01.01.14</vt:lpstr>
      <vt:lpstr>S.01.01.15</vt:lpstr>
      <vt:lpstr>SR.01.01.01</vt:lpstr>
      <vt:lpstr>SR.01.01.04</vt:lpstr>
      <vt:lpstr>SR.01.01.07</vt:lpstr>
      <vt:lpstr>SE.01.01.16</vt:lpstr>
      <vt:lpstr>SE.01.01.17</vt:lpstr>
      <vt:lpstr>SE.01.01.18</vt:lpstr>
      <vt:lpstr>SE.01.01.19</vt:lpstr>
      <vt:lpstr>S.01.02.01</vt:lpstr>
      <vt:lpstr>S.01.02.04</vt:lpstr>
      <vt:lpstr>S.01.02.07</vt:lpstr>
      <vt:lpstr>S.01.03.01</vt:lpstr>
      <vt:lpstr>S.01.03.04</vt:lpstr>
      <vt:lpstr>S.02.01.01</vt:lpstr>
      <vt:lpstr>S.02.01.02</vt:lpstr>
      <vt:lpstr>S.02.01.07</vt:lpstr>
      <vt:lpstr>S.02.01.08</vt:lpstr>
      <vt:lpstr>SR.02.01.01</vt:lpstr>
      <vt:lpstr>SR.02.01.07</vt:lpstr>
      <vt:lpstr>SE.02.01.16</vt:lpstr>
      <vt:lpstr>SE.02.01.17</vt:lpstr>
      <vt:lpstr>SE.02.01.18</vt:lpstr>
      <vt:lpstr>SE.02.01.19</vt:lpstr>
      <vt:lpstr>S.02.02.01</vt:lpstr>
      <vt:lpstr>S.02.03.07</vt:lpstr>
      <vt:lpstr>S.03.01.01</vt:lpstr>
      <vt:lpstr>S.03.01.04</vt:lpstr>
      <vt:lpstr>S.03.02.01</vt:lpstr>
      <vt:lpstr>S.03.02.04</vt:lpstr>
      <vt:lpstr>S.03.03.01</vt:lpstr>
      <vt:lpstr>S.03.03.04</vt:lpstr>
      <vt:lpstr>S.04.01.01</vt:lpstr>
      <vt:lpstr>S.04.02.01</vt:lpstr>
      <vt:lpstr>S.05.01.01</vt:lpstr>
      <vt:lpstr>S.05.01.02</vt:lpstr>
      <vt:lpstr>S.05.01.13</vt:lpstr>
      <vt:lpstr>S.05.02.01</vt:lpstr>
      <vt:lpstr>S.06.01.01</vt:lpstr>
      <vt:lpstr>S.06.02.01</vt:lpstr>
      <vt:lpstr>S.06.02.04</vt:lpstr>
      <vt:lpstr>S.06.02.07</vt:lpstr>
      <vt:lpstr>SE.06.02.16</vt:lpstr>
      <vt:lpstr>SE.06.02.18</vt:lpstr>
      <vt:lpstr>S.06.03.01</vt:lpstr>
      <vt:lpstr>S.06.03.04</vt:lpstr>
      <vt:lpstr>S.07.01.01</vt:lpstr>
      <vt:lpstr>S.07.01.04</vt:lpstr>
      <vt:lpstr>S.08.01.01</vt:lpstr>
      <vt:lpstr>S.08.01.04</vt:lpstr>
      <vt:lpstr>S.08.02.01</vt:lpstr>
      <vt:lpstr>S.08.02.04</vt:lpstr>
      <vt:lpstr>S.09.01.01</vt:lpstr>
      <vt:lpstr>S.09.01.04</vt:lpstr>
      <vt:lpstr>S.10.01.01</vt:lpstr>
      <vt:lpstr>S.10.01.04</vt:lpstr>
      <vt:lpstr>S.11.01.01</vt:lpstr>
      <vt:lpstr>S.11.01.04</vt:lpstr>
      <vt:lpstr>S.12.01.01</vt:lpstr>
      <vt:lpstr>S.12.01.02</vt:lpstr>
      <vt:lpstr>SR.12.01.01</vt:lpstr>
      <vt:lpstr>S.12.02.01</vt:lpstr>
      <vt:lpstr>S.13.01.01</vt:lpstr>
      <vt:lpstr>S.14.01.01</vt:lpstr>
      <vt:lpstr>S.14.01.10</vt:lpstr>
      <vt:lpstr>S.15.01.01</vt:lpstr>
      <vt:lpstr>S.15.01.04</vt:lpstr>
      <vt:lpstr>S.15.02.01</vt:lpstr>
      <vt:lpstr>S.15.02.04</vt:lpstr>
      <vt:lpstr>S.16.01.01</vt:lpstr>
      <vt:lpstr>S.17.01.01</vt:lpstr>
      <vt:lpstr>S.17.01.02</vt:lpstr>
      <vt:lpstr>SR.17.01.01</vt:lpstr>
      <vt:lpstr>S.17.02.01</vt:lpstr>
      <vt:lpstr>S.18.01.01</vt:lpstr>
      <vt:lpstr>S.19.01.01</vt:lpstr>
      <vt:lpstr>S.19.01.21</vt:lpstr>
      <vt:lpstr>S.20.01.01</vt:lpstr>
      <vt:lpstr>S.21.01.01</vt:lpstr>
      <vt:lpstr>S.21.02.01</vt:lpstr>
      <vt:lpstr>S.21.03.01</vt:lpstr>
      <vt:lpstr>S.22.01.01</vt:lpstr>
      <vt:lpstr>S.22.01.04</vt:lpstr>
      <vt:lpstr>S.22.01.21</vt:lpstr>
      <vt:lpstr>S.22.01.22</vt:lpstr>
      <vt:lpstr>SR.22.02.01</vt:lpstr>
      <vt:lpstr>SR.22.03.01</vt:lpstr>
      <vt:lpstr>S.22.04.01</vt:lpstr>
      <vt:lpstr>S.22.05.01</vt:lpstr>
      <vt:lpstr>S.22.06.01</vt:lpstr>
      <vt:lpstr>S.23.01.01</vt:lpstr>
      <vt:lpstr>S.23.01.04</vt:lpstr>
      <vt:lpstr>S.23.01.07</vt:lpstr>
      <vt:lpstr>S.23.01.13</vt:lpstr>
      <vt:lpstr>S.23.01.22</vt:lpstr>
      <vt:lpstr>S.23.02.01</vt:lpstr>
      <vt:lpstr>S.23.02.04</vt:lpstr>
      <vt:lpstr>S.23.03.01</vt:lpstr>
      <vt:lpstr>S.23.03.04</vt:lpstr>
      <vt:lpstr>S.23.03.07</vt:lpstr>
      <vt:lpstr>S.23.04.01</vt:lpstr>
      <vt:lpstr>S.23.04.04</vt:lpstr>
      <vt:lpstr>S.24.01.01</vt:lpstr>
      <vt:lpstr>S.25.01.01</vt:lpstr>
      <vt:lpstr>S.25.01.04</vt:lpstr>
      <vt:lpstr>S.25.01.21</vt:lpstr>
      <vt:lpstr>S.25.01.22</vt:lpstr>
      <vt:lpstr>SR.25.01.01</vt:lpstr>
      <vt:lpstr>SR.25.01.04</vt:lpstr>
      <vt:lpstr>S.25.02.01</vt:lpstr>
      <vt:lpstr>S.25.02.04</vt:lpstr>
      <vt:lpstr>S.25.02.21</vt:lpstr>
      <vt:lpstr>S.25.02.22</vt:lpstr>
      <vt:lpstr>SR.25.02.01</vt:lpstr>
      <vt:lpstr>SR.25.02.04</vt:lpstr>
      <vt:lpstr>S.25.03.01</vt:lpstr>
      <vt:lpstr>S.25.03.04</vt:lpstr>
      <vt:lpstr>S.25.03.21</vt:lpstr>
      <vt:lpstr>S.25.03.22</vt:lpstr>
      <vt:lpstr>SR.25.03.01</vt:lpstr>
      <vt:lpstr>SR.25.03.04</vt:lpstr>
      <vt:lpstr>S.25.04.11</vt:lpstr>
      <vt:lpstr>S.25.04.13</vt:lpstr>
      <vt:lpstr>S.26.01.01</vt:lpstr>
      <vt:lpstr>S.26.01.04</vt:lpstr>
      <vt:lpstr>SR.26.01.01</vt:lpstr>
      <vt:lpstr>S.26.02.01</vt:lpstr>
      <vt:lpstr>S.26.02.04</vt:lpstr>
      <vt:lpstr>SR.26.02.01</vt:lpstr>
      <vt:lpstr>S.26.03.01</vt:lpstr>
      <vt:lpstr>S.26.03.04</vt:lpstr>
      <vt:lpstr>SR.26.03.01</vt:lpstr>
      <vt:lpstr>S.26.04.01</vt:lpstr>
      <vt:lpstr>S.26.04.04</vt:lpstr>
      <vt:lpstr>SR.26.04.01</vt:lpstr>
      <vt:lpstr>S.26.05.01</vt:lpstr>
      <vt:lpstr>S.26.05.04</vt:lpstr>
      <vt:lpstr>SR.26.05.01</vt:lpstr>
      <vt:lpstr>S.26.06.01</vt:lpstr>
      <vt:lpstr>S.26.06.04</vt:lpstr>
      <vt:lpstr>SR.26.06.01</vt:lpstr>
      <vt:lpstr>S.26.07.01</vt:lpstr>
      <vt:lpstr>S.26.07.04</vt:lpstr>
      <vt:lpstr>SR.26.07.01</vt:lpstr>
      <vt:lpstr>S.27.01.01</vt:lpstr>
      <vt:lpstr>S.27.01.04</vt:lpstr>
      <vt:lpstr>SR.27.01.01</vt:lpstr>
      <vt:lpstr>S.28.01.01</vt:lpstr>
      <vt:lpstr>S.28.02.01</vt:lpstr>
      <vt:lpstr>S.29.01.01</vt:lpstr>
      <vt:lpstr>S.29.01.07</vt:lpstr>
      <vt:lpstr>S.29.02.01</vt:lpstr>
      <vt:lpstr>S.29.03.01</vt:lpstr>
      <vt:lpstr>S.29.04.01</vt:lpstr>
      <vt:lpstr>S.30.01.01</vt:lpstr>
      <vt:lpstr>S.30.02.01</vt:lpstr>
      <vt:lpstr>S.30.03.01</vt:lpstr>
      <vt:lpstr>S.30.04.01</vt:lpstr>
      <vt:lpstr>S.31.01.01</vt:lpstr>
      <vt:lpstr>S.31.01.04</vt:lpstr>
      <vt:lpstr>S.31.02.01</vt:lpstr>
      <vt:lpstr>S.31.02.04</vt:lpstr>
      <vt:lpstr>S.32.01.04</vt:lpstr>
      <vt:lpstr>S.32.01.22</vt:lpstr>
      <vt:lpstr>S.33.01.04</vt:lpstr>
      <vt:lpstr>S.34.01.04</vt:lpstr>
      <vt:lpstr>S.35.01.04</vt:lpstr>
      <vt:lpstr>S.36.01.01</vt:lpstr>
      <vt:lpstr>S.36.02.01</vt:lpstr>
      <vt:lpstr>S.36.03.01</vt:lpstr>
      <vt:lpstr>S.36.04.01</vt:lpstr>
      <vt:lpstr>S.37.01.04</vt:lpstr>
      <vt:lpstr>S.38.01.10</vt:lpstr>
      <vt:lpstr>S.39.01.11</vt:lpstr>
      <vt:lpstr>S.40.01.10</vt:lpstr>
      <vt:lpstr>S.41.01.11</vt:lpstr>
      <vt:lpstr>E.01.01.16</vt:lpstr>
      <vt:lpstr>E.02.01.16</vt:lpstr>
      <vt:lpstr>E.03.01.16</vt:lpstr>
      <vt:lpstr>SPV.01.01.20</vt:lpstr>
      <vt:lpstr>SPV.01.02.20</vt:lpstr>
      <vt:lpstr>SPV.02.01.20</vt:lpstr>
      <vt:lpstr>SPV.02.02.20</vt:lpstr>
      <vt:lpstr>SPV.03.01.20</vt:lpstr>
      <vt:lpstr>SPV.03.02.20</vt:lpstr>
      <vt:lpstr>T.99.01.01</vt:lpstr>
      <vt:lpstr>'General data'!Currencies</vt:lpstr>
      <vt:lpstr>dr_x_0</vt:lpstr>
      <vt:lpstr>dr_x_1</vt:lpstr>
      <vt:lpstr>dr_x_10</vt:lpstr>
      <vt:lpstr>dr_x_100</vt:lpstr>
      <vt:lpstr>dr_x_101</vt:lpstr>
      <vt:lpstr>dr_x_102</vt:lpstr>
      <vt:lpstr>dr_x_103</vt:lpstr>
      <vt:lpstr>dr_x_104</vt:lpstr>
      <vt:lpstr>dr_x_105</vt:lpstr>
      <vt:lpstr>dr_x_106</vt:lpstr>
      <vt:lpstr>dr_x_107</vt:lpstr>
      <vt:lpstr>dr_x_108</vt:lpstr>
      <vt:lpstr>dr_x_109</vt:lpstr>
      <vt:lpstr>dr_x_11</vt:lpstr>
      <vt:lpstr>dr_x_110</vt:lpstr>
      <vt:lpstr>dr_x_111</vt:lpstr>
      <vt:lpstr>dr_x_113</vt:lpstr>
      <vt:lpstr>dr_x_115</vt:lpstr>
      <vt:lpstr>dr_x_116</vt:lpstr>
      <vt:lpstr>dr_x_117</vt:lpstr>
      <vt:lpstr>dr_x_118</vt:lpstr>
      <vt:lpstr>dr_x_119</vt:lpstr>
      <vt:lpstr>dr_x_12</vt:lpstr>
      <vt:lpstr>dr_x_120</vt:lpstr>
      <vt:lpstr>dr_x_121</vt:lpstr>
      <vt:lpstr>dr_x_122</vt:lpstr>
      <vt:lpstr>dr_x_123</vt:lpstr>
      <vt:lpstr>dr_x_124</vt:lpstr>
      <vt:lpstr>dr_x_125</vt:lpstr>
      <vt:lpstr>dr_x_126</vt:lpstr>
      <vt:lpstr>dr_x_127</vt:lpstr>
      <vt:lpstr>dr_x_128</vt:lpstr>
      <vt:lpstr>dr_x_129</vt:lpstr>
      <vt:lpstr>dr_x_13</vt:lpstr>
      <vt:lpstr>dr_x_130</vt:lpstr>
      <vt:lpstr>dr_x_131</vt:lpstr>
      <vt:lpstr>dr_x_132</vt:lpstr>
      <vt:lpstr>dr_x_133</vt:lpstr>
      <vt:lpstr>dr_x_134</vt:lpstr>
      <vt:lpstr>dr_x_135</vt:lpstr>
      <vt:lpstr>dr_x_136</vt:lpstr>
      <vt:lpstr>dr_x_137</vt:lpstr>
      <vt:lpstr>dr_x_138</vt:lpstr>
      <vt:lpstr>dr_x_139</vt:lpstr>
      <vt:lpstr>dr_x_14</vt:lpstr>
      <vt:lpstr>dr_x_140</vt:lpstr>
      <vt:lpstr>dr_x_141</vt:lpstr>
      <vt:lpstr>dr_x_142</vt:lpstr>
      <vt:lpstr>dr_x_143</vt:lpstr>
      <vt:lpstr>dr_x_144</vt:lpstr>
      <vt:lpstr>dr_x_145</vt:lpstr>
      <vt:lpstr>dr_x_146</vt:lpstr>
      <vt:lpstr>dr_x_147</vt:lpstr>
      <vt:lpstr>dr_x_148</vt:lpstr>
      <vt:lpstr>dr_x_149</vt:lpstr>
      <vt:lpstr>dr_x_150</vt:lpstr>
      <vt:lpstr>dr_x_151</vt:lpstr>
      <vt:lpstr>dr_x_152</vt:lpstr>
      <vt:lpstr>dr_x_153</vt:lpstr>
      <vt:lpstr>dr_x_154</vt:lpstr>
      <vt:lpstr>dr_x_155</vt:lpstr>
      <vt:lpstr>dr_x_156</vt:lpstr>
      <vt:lpstr>dr_x_157</vt:lpstr>
      <vt:lpstr>dr_x_158</vt:lpstr>
      <vt:lpstr>dr_x_159</vt:lpstr>
      <vt:lpstr>dr_x_160</vt:lpstr>
      <vt:lpstr>dr_x_161</vt:lpstr>
      <vt:lpstr>dr_x_162</vt:lpstr>
      <vt:lpstr>dr_x_163</vt:lpstr>
      <vt:lpstr>dr_x_164</vt:lpstr>
      <vt:lpstr>dr_x_165</vt:lpstr>
      <vt:lpstr>dr_x_166</vt:lpstr>
      <vt:lpstr>dr_x_167</vt:lpstr>
      <vt:lpstr>dr_x_168</vt:lpstr>
      <vt:lpstr>dr_x_169</vt:lpstr>
      <vt:lpstr>dr_x_170</vt:lpstr>
      <vt:lpstr>dr_x_171</vt:lpstr>
      <vt:lpstr>dr_x_172</vt:lpstr>
      <vt:lpstr>dr_x_173</vt:lpstr>
      <vt:lpstr>dr_x_174</vt:lpstr>
      <vt:lpstr>dr_x_175</vt:lpstr>
      <vt:lpstr>dr_x_176</vt:lpstr>
      <vt:lpstr>dr_x_177</vt:lpstr>
      <vt:lpstr>dr_x_178</vt:lpstr>
      <vt:lpstr>dr_x_179</vt:lpstr>
      <vt:lpstr>dr_x_180</vt:lpstr>
      <vt:lpstr>dr_x_181</vt:lpstr>
      <vt:lpstr>dr_x_182</vt:lpstr>
      <vt:lpstr>dr_x_183</vt:lpstr>
      <vt:lpstr>dr_x_184</vt:lpstr>
      <vt:lpstr>dr_x_185</vt:lpstr>
      <vt:lpstr>dr_x_186</vt:lpstr>
      <vt:lpstr>dr_x_187</vt:lpstr>
      <vt:lpstr>dr_x_188</vt:lpstr>
      <vt:lpstr>dr_x_189</vt:lpstr>
      <vt:lpstr>dr_x_190</vt:lpstr>
      <vt:lpstr>dr_x_191</vt:lpstr>
      <vt:lpstr>dr_x_192</vt:lpstr>
      <vt:lpstr>dr_x_193</vt:lpstr>
      <vt:lpstr>dr_x_194</vt:lpstr>
      <vt:lpstr>dr_x_195</vt:lpstr>
      <vt:lpstr>dr_x_196</vt:lpstr>
      <vt:lpstr>dr_x_197</vt:lpstr>
      <vt:lpstr>dr_x_198</vt:lpstr>
      <vt:lpstr>dr_x_199</vt:lpstr>
      <vt:lpstr>dr_x_2</vt:lpstr>
      <vt:lpstr>dr_x_200</vt:lpstr>
      <vt:lpstr>dr_x_201</vt:lpstr>
      <vt:lpstr>dr_x_202</vt:lpstr>
      <vt:lpstr>dr_x_203</vt:lpstr>
      <vt:lpstr>dr_x_204</vt:lpstr>
      <vt:lpstr>dr_x_205</vt:lpstr>
      <vt:lpstr>dr_x_206</vt:lpstr>
      <vt:lpstr>dr_x_207</vt:lpstr>
      <vt:lpstr>dr_x_208</vt:lpstr>
      <vt:lpstr>dr_x_209</vt:lpstr>
      <vt:lpstr>dr_x_210</vt:lpstr>
      <vt:lpstr>dr_x_211</vt:lpstr>
      <vt:lpstr>dr_x_212</vt:lpstr>
      <vt:lpstr>dr_x_213</vt:lpstr>
      <vt:lpstr>dr_x_214</vt:lpstr>
      <vt:lpstr>dr_x_215</vt:lpstr>
      <vt:lpstr>dr_x_216</vt:lpstr>
      <vt:lpstr>dr_x_217</vt:lpstr>
      <vt:lpstr>dr_x_218</vt:lpstr>
      <vt:lpstr>dr_x_219</vt:lpstr>
      <vt:lpstr>dr_x_220</vt:lpstr>
      <vt:lpstr>dr_x_221</vt:lpstr>
      <vt:lpstr>dr_x_222</vt:lpstr>
      <vt:lpstr>dr_x_223</vt:lpstr>
      <vt:lpstr>dr_x_224</vt:lpstr>
      <vt:lpstr>dr_x_225</vt:lpstr>
      <vt:lpstr>dr_x_226</vt:lpstr>
      <vt:lpstr>dr_x_227</vt:lpstr>
      <vt:lpstr>dr_x_228</vt:lpstr>
      <vt:lpstr>dr_x_229</vt:lpstr>
      <vt:lpstr>dr_x_23</vt:lpstr>
      <vt:lpstr>dr_x_230</vt:lpstr>
      <vt:lpstr>dr_x_231</vt:lpstr>
      <vt:lpstr>dr_x_232</vt:lpstr>
      <vt:lpstr>dr_x_233</vt:lpstr>
      <vt:lpstr>dr_x_234</vt:lpstr>
      <vt:lpstr>dr_x_235</vt:lpstr>
      <vt:lpstr>dr_x_236</vt:lpstr>
      <vt:lpstr>dr_x_237</vt:lpstr>
      <vt:lpstr>dr_x_238</vt:lpstr>
      <vt:lpstr>dr_x_239</vt:lpstr>
      <vt:lpstr>dr_x_24</vt:lpstr>
      <vt:lpstr>dr_x_240</vt:lpstr>
      <vt:lpstr>dr_x_241</vt:lpstr>
      <vt:lpstr>dr_x_242</vt:lpstr>
      <vt:lpstr>dr_x_243</vt:lpstr>
      <vt:lpstr>dr_x_244</vt:lpstr>
      <vt:lpstr>dr_x_245</vt:lpstr>
      <vt:lpstr>dr_x_246</vt:lpstr>
      <vt:lpstr>dr_x_247</vt:lpstr>
      <vt:lpstr>dr_x_248</vt:lpstr>
      <vt:lpstr>dr_x_25</vt:lpstr>
      <vt:lpstr>dr_x_26</vt:lpstr>
      <vt:lpstr>dr_x_27</vt:lpstr>
      <vt:lpstr>dr_x_28</vt:lpstr>
      <vt:lpstr>dr_x_29</vt:lpstr>
      <vt:lpstr>dr_x_3</vt:lpstr>
      <vt:lpstr>dr_x_30</vt:lpstr>
      <vt:lpstr>dr_x_31</vt:lpstr>
      <vt:lpstr>dr_x_32</vt:lpstr>
      <vt:lpstr>dr_x_33</vt:lpstr>
      <vt:lpstr>dr_x_34</vt:lpstr>
      <vt:lpstr>dr_x_35</vt:lpstr>
      <vt:lpstr>dr_x_36</vt:lpstr>
      <vt:lpstr>dr_x_37</vt:lpstr>
      <vt:lpstr>dr_x_38</vt:lpstr>
      <vt:lpstr>dr_x_39</vt:lpstr>
      <vt:lpstr>dr_x_4</vt:lpstr>
      <vt:lpstr>dr_x_40</vt:lpstr>
      <vt:lpstr>dr_x_41</vt:lpstr>
      <vt:lpstr>dr_x_42</vt:lpstr>
      <vt:lpstr>dr_x_43</vt:lpstr>
      <vt:lpstr>dr_x_44</vt:lpstr>
      <vt:lpstr>dr_x_45</vt:lpstr>
      <vt:lpstr>dr_x_46</vt:lpstr>
      <vt:lpstr>dr_x_47</vt:lpstr>
      <vt:lpstr>dr_x_48</vt:lpstr>
      <vt:lpstr>dr_x_49</vt:lpstr>
      <vt:lpstr>dr_x_5</vt:lpstr>
      <vt:lpstr>dr_x_50</vt:lpstr>
      <vt:lpstr>dr_x_51</vt:lpstr>
      <vt:lpstr>dr_x_52</vt:lpstr>
      <vt:lpstr>dr_x_53</vt:lpstr>
      <vt:lpstr>dr_x_54</vt:lpstr>
      <vt:lpstr>dr_x_55</vt:lpstr>
      <vt:lpstr>dr_x_56</vt:lpstr>
      <vt:lpstr>dr_x_57</vt:lpstr>
      <vt:lpstr>dr_x_58</vt:lpstr>
      <vt:lpstr>dr_x_59</vt:lpstr>
      <vt:lpstr>dr_x_6</vt:lpstr>
      <vt:lpstr>dr_x_60</vt:lpstr>
      <vt:lpstr>dr_x_61</vt:lpstr>
      <vt:lpstr>dr_x_62</vt:lpstr>
      <vt:lpstr>dr_x_63</vt:lpstr>
      <vt:lpstr>dr_x_64</vt:lpstr>
      <vt:lpstr>dr_x_65</vt:lpstr>
      <vt:lpstr>dr_x_66</vt:lpstr>
      <vt:lpstr>dr_x_67</vt:lpstr>
      <vt:lpstr>dr_x_68</vt:lpstr>
      <vt:lpstr>dr_x_69</vt:lpstr>
      <vt:lpstr>dr_x_7</vt:lpstr>
      <vt:lpstr>dr_x_70</vt:lpstr>
      <vt:lpstr>dr_x_71</vt:lpstr>
      <vt:lpstr>dr_x_72</vt:lpstr>
      <vt:lpstr>dr_x_73</vt:lpstr>
      <vt:lpstr>dr_x_74</vt:lpstr>
      <vt:lpstr>dr_x_75</vt:lpstr>
      <vt:lpstr>dr_x_76</vt:lpstr>
      <vt:lpstr>dr_x_77</vt:lpstr>
      <vt:lpstr>dr_x_78</vt:lpstr>
      <vt:lpstr>dr_x_79</vt:lpstr>
      <vt:lpstr>dr_x_80</vt:lpstr>
      <vt:lpstr>dr_x_81</vt:lpstr>
      <vt:lpstr>dr_x_82</vt:lpstr>
      <vt:lpstr>dr_x_83</vt:lpstr>
      <vt:lpstr>dr_x_84</vt:lpstr>
      <vt:lpstr>dr_x_85</vt:lpstr>
      <vt:lpstr>dr_x_86</vt:lpstr>
      <vt:lpstr>dr_x_87</vt:lpstr>
      <vt:lpstr>dr_x_88</vt:lpstr>
      <vt:lpstr>dr_x_89</vt:lpstr>
      <vt:lpstr>dr_x_9</vt:lpstr>
      <vt:lpstr>dr_x_90</vt:lpstr>
      <vt:lpstr>dr_x_91</vt:lpstr>
      <vt:lpstr>dr_x_92</vt:lpstr>
      <vt:lpstr>dr_x_93</vt:lpstr>
      <vt:lpstr>dr_x_94</vt:lpstr>
      <vt:lpstr>dr_x_95</vt:lpstr>
      <vt:lpstr>dr_x_96</vt:lpstr>
      <vt:lpstr>dr_x_97</vt:lpstr>
      <vt:lpstr>dr_x_98</vt:lpstr>
      <vt:lpstr>dr_x_99</vt:lpstr>
      <vt:lpstr>dr_y_112</vt:lpstr>
      <vt:lpstr>dr_y_114</vt:lpstr>
      <vt:lpstr>dr_y_15</vt:lpstr>
      <vt:lpstr>dr_y_16</vt:lpstr>
      <vt:lpstr>dr_y_17</vt:lpstr>
      <vt:lpstr>dr_y_18</vt:lpstr>
      <vt:lpstr>dr_y_19</vt:lpstr>
      <vt:lpstr>dr_y_20</vt:lpstr>
      <vt:lpstr>dr_y_21</vt:lpstr>
      <vt:lpstr>dr_y_22</vt:lpstr>
      <vt:lpstr>dr_y_8</vt:lpstr>
      <vt:lpstr>hier_AM_11</vt:lpstr>
      <vt:lpstr>hier_AM_6</vt:lpstr>
      <vt:lpstr>hier_AM_7</vt:lpstr>
      <vt:lpstr>hier_AM_8</vt:lpstr>
      <vt:lpstr>hier_AO_1</vt:lpstr>
      <vt:lpstr>hier_AO_2</vt:lpstr>
      <vt:lpstr>hier_AP_11</vt:lpstr>
      <vt:lpstr>hier_AP_12</vt:lpstr>
      <vt:lpstr>hier_AP_13</vt:lpstr>
      <vt:lpstr>hier_AP_14</vt:lpstr>
      <vt:lpstr>hier_AP_15</vt:lpstr>
      <vt:lpstr>hier_AP_16</vt:lpstr>
      <vt:lpstr>hier_AP_17</vt:lpstr>
      <vt:lpstr>hier_AP_18</vt:lpstr>
      <vt:lpstr>hier_AP_23</vt:lpstr>
      <vt:lpstr>hier_AP_24</vt:lpstr>
      <vt:lpstr>hier_AP_25</vt:lpstr>
      <vt:lpstr>hier_AP_26</vt:lpstr>
      <vt:lpstr>hier_AP_27</vt:lpstr>
      <vt:lpstr>hier_AP_28</vt:lpstr>
      <vt:lpstr>hier_AP_3</vt:lpstr>
      <vt:lpstr>hier_AP_4</vt:lpstr>
      <vt:lpstr>hier_AP_5</vt:lpstr>
      <vt:lpstr>hier_AP_6</vt:lpstr>
      <vt:lpstr>hier_AP_7</vt:lpstr>
      <vt:lpstr>hier_AP_8</vt:lpstr>
      <vt:lpstr>hier_AP_9</vt:lpstr>
      <vt:lpstr>hier_BR_3</vt:lpstr>
      <vt:lpstr>hier_BR_4</vt:lpstr>
      <vt:lpstr>hier_CA_1</vt:lpstr>
      <vt:lpstr>hier_CG_11</vt:lpstr>
      <vt:lpstr>hier_CG_2</vt:lpstr>
      <vt:lpstr>hier_CG_5</vt:lpstr>
      <vt:lpstr>hier_CG_7</vt:lpstr>
      <vt:lpstr>hier_CG_9</vt:lpstr>
      <vt:lpstr>hier_CN_1</vt:lpstr>
      <vt:lpstr>hier_CN_100</vt:lpstr>
      <vt:lpstr>hier_CN_101</vt:lpstr>
      <vt:lpstr>hier_CN_102</vt:lpstr>
      <vt:lpstr>hier_CN_103</vt:lpstr>
      <vt:lpstr>hier_CN_104</vt:lpstr>
      <vt:lpstr>hier_CN_106</vt:lpstr>
      <vt:lpstr>hier_CN_108</vt:lpstr>
      <vt:lpstr>hier_CN_109</vt:lpstr>
      <vt:lpstr>hier_CN_111</vt:lpstr>
      <vt:lpstr>hier_CN_112</vt:lpstr>
      <vt:lpstr>hier_CN_113</vt:lpstr>
      <vt:lpstr>hier_CN_114</vt:lpstr>
      <vt:lpstr>hier_CN_115</vt:lpstr>
      <vt:lpstr>hier_CN_116</vt:lpstr>
      <vt:lpstr>hier_CN_117</vt:lpstr>
      <vt:lpstr>hier_CN_118</vt:lpstr>
      <vt:lpstr>hier_CN_119</vt:lpstr>
      <vt:lpstr>hier_CN_120</vt:lpstr>
      <vt:lpstr>hier_CN_121</vt:lpstr>
      <vt:lpstr>hier_CN_122</vt:lpstr>
      <vt:lpstr>hier_CN_123</vt:lpstr>
      <vt:lpstr>hier_CN_124</vt:lpstr>
      <vt:lpstr>hier_CN_125</vt:lpstr>
      <vt:lpstr>hier_CN_126</vt:lpstr>
      <vt:lpstr>hier_CN_127</vt:lpstr>
      <vt:lpstr>hier_CN_13</vt:lpstr>
      <vt:lpstr>hier_CN_14</vt:lpstr>
      <vt:lpstr>hier_CN_15</vt:lpstr>
      <vt:lpstr>hier_CN_16</vt:lpstr>
      <vt:lpstr>hier_CN_17</vt:lpstr>
      <vt:lpstr>hier_CN_18</vt:lpstr>
      <vt:lpstr>hier_CN_19</vt:lpstr>
      <vt:lpstr>hier_CN_2</vt:lpstr>
      <vt:lpstr>hier_CN_20</vt:lpstr>
      <vt:lpstr>hier_CN_23</vt:lpstr>
      <vt:lpstr>hier_CN_24</vt:lpstr>
      <vt:lpstr>hier_CN_27</vt:lpstr>
      <vt:lpstr>hier_CN_28</vt:lpstr>
      <vt:lpstr>hier_CN_29</vt:lpstr>
      <vt:lpstr>hier_CN_30</vt:lpstr>
      <vt:lpstr>hier_CN_31</vt:lpstr>
      <vt:lpstr>hier_CN_32</vt:lpstr>
      <vt:lpstr>hier_CN_33</vt:lpstr>
      <vt:lpstr>hier_CN_34</vt:lpstr>
      <vt:lpstr>hier_CN_35</vt:lpstr>
      <vt:lpstr>hier_CN_36</vt:lpstr>
      <vt:lpstr>hier_CN_37</vt:lpstr>
      <vt:lpstr>hier_CN_39</vt:lpstr>
      <vt:lpstr>hier_CN_40</vt:lpstr>
      <vt:lpstr>hier_CN_41</vt:lpstr>
      <vt:lpstr>hier_CN_42</vt:lpstr>
      <vt:lpstr>hier_CN_43</vt:lpstr>
      <vt:lpstr>hier_CN_45</vt:lpstr>
      <vt:lpstr>hier_CN_46</vt:lpstr>
      <vt:lpstr>hier_CN_49</vt:lpstr>
      <vt:lpstr>hier_CN_50</vt:lpstr>
      <vt:lpstr>hier_CN_51</vt:lpstr>
      <vt:lpstr>hier_CN_52</vt:lpstr>
      <vt:lpstr>hier_CN_53</vt:lpstr>
      <vt:lpstr>hier_CN_54</vt:lpstr>
      <vt:lpstr>hier_CN_55</vt:lpstr>
      <vt:lpstr>hier_CN_56</vt:lpstr>
      <vt:lpstr>hier_CN_57</vt:lpstr>
      <vt:lpstr>hier_CN_58</vt:lpstr>
      <vt:lpstr>hier_CN_59</vt:lpstr>
      <vt:lpstr>hier_CN_60</vt:lpstr>
      <vt:lpstr>hier_CN_61</vt:lpstr>
      <vt:lpstr>hier_CN_62</vt:lpstr>
      <vt:lpstr>hier_CN_63</vt:lpstr>
      <vt:lpstr>hier_CN_64</vt:lpstr>
      <vt:lpstr>hier_CN_65</vt:lpstr>
      <vt:lpstr>hier_CN_66</vt:lpstr>
      <vt:lpstr>hier_CN_67</vt:lpstr>
      <vt:lpstr>hier_CN_68</vt:lpstr>
      <vt:lpstr>hier_CN_75</vt:lpstr>
      <vt:lpstr>hier_CN_77</vt:lpstr>
      <vt:lpstr>hier_CN_78</vt:lpstr>
      <vt:lpstr>hier_CN_79</vt:lpstr>
      <vt:lpstr>hier_CN_8</vt:lpstr>
      <vt:lpstr>hier_CN_81</vt:lpstr>
      <vt:lpstr>hier_CN_83</vt:lpstr>
      <vt:lpstr>hier_CN_84</vt:lpstr>
      <vt:lpstr>hier_CN_85</vt:lpstr>
      <vt:lpstr>hier_CN_86</vt:lpstr>
      <vt:lpstr>hier_CN_87</vt:lpstr>
      <vt:lpstr>hier_CN_89</vt:lpstr>
      <vt:lpstr>hier_CN_9</vt:lpstr>
      <vt:lpstr>hier_CN_90</vt:lpstr>
      <vt:lpstr>hier_CN_92</vt:lpstr>
      <vt:lpstr>hier_CN_93</vt:lpstr>
      <vt:lpstr>hier_CN_94</vt:lpstr>
      <vt:lpstr>hier_CN_95</vt:lpstr>
      <vt:lpstr>hier_CN_96</vt:lpstr>
      <vt:lpstr>hier_CN_97</vt:lpstr>
      <vt:lpstr>hier_CS_10</vt:lpstr>
      <vt:lpstr>hier_CS_11</vt:lpstr>
      <vt:lpstr>hier_CS_12</vt:lpstr>
      <vt:lpstr>hier_CS_13</vt:lpstr>
      <vt:lpstr>hier_CS_14</vt:lpstr>
      <vt:lpstr>hier_CS_15</vt:lpstr>
      <vt:lpstr>hier_CS_16</vt:lpstr>
      <vt:lpstr>hier_CS_20</vt:lpstr>
      <vt:lpstr>hier_CS_21</vt:lpstr>
      <vt:lpstr>hier_CS_3</vt:lpstr>
      <vt:lpstr>hier_CS_4</vt:lpstr>
      <vt:lpstr>hier_CU_1</vt:lpstr>
      <vt:lpstr>hier_CU_4</vt:lpstr>
      <vt:lpstr>hier_CU_5</vt:lpstr>
      <vt:lpstr>hier_EL_13</vt:lpstr>
      <vt:lpstr>hier_EL_14</vt:lpstr>
      <vt:lpstr>hier_EL_7</vt:lpstr>
      <vt:lpstr>hier_EX_5</vt:lpstr>
      <vt:lpstr>hier_GA_1</vt:lpstr>
      <vt:lpstr>hier_GA_18</vt:lpstr>
      <vt:lpstr>hier_GA_32</vt:lpstr>
      <vt:lpstr>hier_GA_33</vt:lpstr>
      <vt:lpstr>hier_GA_35</vt:lpstr>
      <vt:lpstr>hier_GA_36</vt:lpstr>
      <vt:lpstr>hier_GA_4</vt:lpstr>
      <vt:lpstr>hier_GA_5</vt:lpstr>
      <vt:lpstr>hier_LA_1</vt:lpstr>
      <vt:lpstr>hier_LB_19</vt:lpstr>
      <vt:lpstr>hier_LB_22</vt:lpstr>
      <vt:lpstr>hier_LB_28</vt:lpstr>
      <vt:lpstr>hier_LB_30</vt:lpstr>
      <vt:lpstr>hier_LB_31</vt:lpstr>
      <vt:lpstr>hier_LB_32</vt:lpstr>
      <vt:lpstr>hier_LB_33</vt:lpstr>
      <vt:lpstr>hier_LB_4</vt:lpstr>
      <vt:lpstr>hier_LB_43</vt:lpstr>
      <vt:lpstr>hier_LB_47</vt:lpstr>
      <vt:lpstr>hier_LB_48</vt:lpstr>
      <vt:lpstr>hier_LB_49</vt:lpstr>
      <vt:lpstr>hier_LB_50</vt:lpstr>
      <vt:lpstr>hier_LB_51</vt:lpstr>
      <vt:lpstr>hier_LB_52</vt:lpstr>
      <vt:lpstr>hier_LT_1</vt:lpstr>
      <vt:lpstr>hier_LT_3</vt:lpstr>
      <vt:lpstr>hier_LT_4</vt:lpstr>
      <vt:lpstr>hier_LT_5</vt:lpstr>
      <vt:lpstr>hier_MC_18</vt:lpstr>
      <vt:lpstr>hier_MC_26</vt:lpstr>
      <vt:lpstr>hier_MC_28</vt:lpstr>
      <vt:lpstr>hier_MC_29</vt:lpstr>
      <vt:lpstr>hier_MC_30</vt:lpstr>
      <vt:lpstr>hier_MC_31</vt:lpstr>
      <vt:lpstr>hier_MC_32</vt:lpstr>
      <vt:lpstr>hier_MC_33</vt:lpstr>
      <vt:lpstr>hier_MC_35</vt:lpstr>
      <vt:lpstr>hier_MC_36</vt:lpstr>
      <vt:lpstr>hier_MC_37</vt:lpstr>
      <vt:lpstr>hier_MC_48</vt:lpstr>
      <vt:lpstr>hier_MC_50</vt:lpstr>
      <vt:lpstr>hier_NC_1</vt:lpstr>
      <vt:lpstr>hier_PC_1</vt:lpstr>
      <vt:lpstr>hier_PC_2</vt:lpstr>
      <vt:lpstr>hier_PC_3</vt:lpstr>
      <vt:lpstr>hier_PU_15</vt:lpstr>
      <vt:lpstr>hier_PU_17</vt:lpstr>
      <vt:lpstr>hier_PU_19</vt:lpstr>
      <vt:lpstr>hier_PU_20</vt:lpstr>
      <vt:lpstr>hier_PU_23</vt:lpstr>
      <vt:lpstr>hier_PU_24</vt:lpstr>
      <vt:lpstr>hier_PU_25</vt:lpstr>
      <vt:lpstr>hier_PU_27</vt:lpstr>
      <vt:lpstr>hier_PU_30</vt:lpstr>
      <vt:lpstr>hier_PU_33</vt:lpstr>
      <vt:lpstr>hier_PU_34</vt:lpstr>
      <vt:lpstr>hier_PU_35</vt:lpstr>
      <vt:lpstr>hier_PU_37</vt:lpstr>
      <vt:lpstr>hier_PU_39</vt:lpstr>
      <vt:lpstr>hier_RT_10</vt:lpstr>
      <vt:lpstr>hier_RT_13</vt:lpstr>
      <vt:lpstr>hier_RT_14</vt:lpstr>
      <vt:lpstr>hier_SE_14</vt:lpstr>
      <vt:lpstr>hier_SE_16</vt:lpstr>
      <vt:lpstr>hier_SE_17</vt:lpstr>
      <vt:lpstr>hier_SE_18</vt:lpstr>
      <vt:lpstr>hier_SE_21</vt:lpstr>
      <vt:lpstr>hier_SE_22</vt:lpstr>
      <vt:lpstr>hier_SE_23</vt:lpstr>
      <vt:lpstr>hier_SE_26</vt:lpstr>
      <vt:lpstr>hier_SE_27</vt:lpstr>
      <vt:lpstr>hier_SE_28</vt:lpstr>
      <vt:lpstr>hier_SE_29</vt:lpstr>
      <vt:lpstr>hier_SE_8</vt:lpstr>
      <vt:lpstr>hier_TB_11</vt:lpstr>
      <vt:lpstr>hier_TB_12</vt:lpstr>
      <vt:lpstr>hier_TB_13</vt:lpstr>
      <vt:lpstr>hier_TB_14</vt:lpstr>
      <vt:lpstr>hier_TB_2</vt:lpstr>
      <vt:lpstr>hier_TB_3</vt:lpstr>
      <vt:lpstr>hier_TB_4</vt:lpstr>
      <vt:lpstr>hier_TB_7</vt:lpstr>
      <vt:lpstr>hier_TB_8</vt:lpstr>
      <vt:lpstr>hier_TB_9</vt:lpstr>
      <vt:lpstr>hier_VM_23</vt:lpstr>
      <vt:lpstr>hier_VM_24</vt:lpstr>
      <vt:lpstr>'General data'!Modules</vt:lpstr>
      <vt:lpstr>'General data'!PP_CompressOutput</vt:lpstr>
      <vt:lpstr>PP_ConcatenateAssertionMessages</vt:lpstr>
      <vt:lpstr>'General data'!PP_Country</vt:lpstr>
      <vt:lpstr>'General data'!PP_Currency</vt:lpstr>
      <vt:lpstr>'General data'!PP_Debug</vt:lpstr>
      <vt:lpstr>'General data'!PP_DecimalDecimals</vt:lpstr>
      <vt:lpstr>'General data'!PP_DecimalPrecision</vt:lpstr>
      <vt:lpstr>'General data'!PP_DeclarerType</vt:lpstr>
      <vt:lpstr>'General data'!PP_Domain</vt:lpstr>
      <vt:lpstr>'General data'!PP_FilingEmailAddress</vt:lpstr>
      <vt:lpstr>'General data'!PP_Identifier</vt:lpstr>
      <vt:lpstr>'General data'!PP_Language</vt:lpstr>
      <vt:lpstr>'General data'!PP_Module</vt:lpstr>
      <vt:lpstr>'General data'!PP_MonetaryDecimals</vt:lpstr>
      <vt:lpstr>'General data'!PP_MonetaryPrecision</vt:lpstr>
      <vt:lpstr>'General data'!PP_Period_end_date</vt:lpstr>
      <vt:lpstr>'General data'!PP_Period_start_date</vt:lpstr>
      <vt:lpstr>'General data'!PP_PostParser</vt:lpstr>
      <vt:lpstr>'General data'!PP_PostParserParameter</vt:lpstr>
      <vt:lpstr>'General data'!PP_Taxonomy</vt:lpstr>
      <vt:lpstr>'General data'!rAddReqs</vt:lpstr>
      <vt:lpstr>'General data'!rAddTitle</vt:lpstr>
      <vt:lpstr>rEntryPointCode</vt:lpstr>
      <vt:lpstr>rEntryPointNumber</vt:lpstr>
      <vt:lpstr>rVersion</vt:lpstr>
      <vt:lpstr>'General data'!Taxonomies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Demol Stijn</cp:lastModifiedBy>
  <dcterms:created xsi:type="dcterms:W3CDTF">2021-12-14T11:03:40Z</dcterms:created>
  <dcterms:modified xsi:type="dcterms:W3CDTF">2023-05-08T08:47:28Z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33ee86-59da-43fd-af10-78953f6aa35c_Enabled">
    <vt:lpwstr>true</vt:lpwstr>
  </property>
  <property fmtid="{D5CDD505-2E9C-101B-9397-08002B2CF9AE}" pid="3" name="MSIP_Label_3a33ee86-59da-43fd-af10-78953f6aa35c_SetDate">
    <vt:lpwstr>2023-04-26T11:41:09Z</vt:lpwstr>
  </property>
  <property fmtid="{D5CDD505-2E9C-101B-9397-08002B2CF9AE}" pid="4" name="MSIP_Label_3a33ee86-59da-43fd-af10-78953f6aa35c_Method">
    <vt:lpwstr>Privileged</vt:lpwstr>
  </property>
  <property fmtid="{D5CDD505-2E9C-101B-9397-08002B2CF9AE}" pid="5" name="MSIP_Label_3a33ee86-59da-43fd-af10-78953f6aa35c_Name">
    <vt:lpwstr>Internal File</vt:lpwstr>
  </property>
  <property fmtid="{D5CDD505-2E9C-101B-9397-08002B2CF9AE}" pid="6" name="MSIP_Label_3a33ee86-59da-43fd-af10-78953f6aa35c_SiteId">
    <vt:lpwstr>acd889b8-4843-42e8-9100-9a0fa223b8f5</vt:lpwstr>
  </property>
  <property fmtid="{D5CDD505-2E9C-101B-9397-08002B2CF9AE}" pid="7" name="MSIP_Label_3a33ee86-59da-43fd-af10-78953f6aa35c_ActionId">
    <vt:lpwstr>0b59ecc8-3424-45b1-b62b-3a401f46c291</vt:lpwstr>
  </property>
  <property fmtid="{D5CDD505-2E9C-101B-9397-08002B2CF9AE}" pid="8" name="MSIP_Label_3a33ee86-59da-43fd-af10-78953f6aa35c_ContentBits">
    <vt:lpwstr>0</vt:lpwstr>
  </property>
</Properties>
</file>